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asminelillich/Downloads/"/>
    </mc:Choice>
  </mc:AlternateContent>
  <xr:revisionPtr revIDLastSave="0" documentId="13_ncr:1_{76F69EFA-F913-F143-A27C-4682F2128121}" xr6:coauthVersionLast="45" xr6:coauthVersionMax="46" xr10:uidLastSave="{00000000-0000-0000-0000-000000000000}"/>
  <bookViews>
    <workbookView xWindow="660" yWindow="660" windowWidth="26840" windowHeight="14200" tabRatio="840" activeTab="2" xr2:uid="{00000000-000D-0000-FFFF-FFFF00000000}"/>
  </bookViews>
  <sheets>
    <sheet name="Graphs" sheetId="20" r:id="rId1"/>
    <sheet name="2021" sheetId="13" r:id="rId2"/>
    <sheet name="2020" sheetId="6" r:id="rId3"/>
    <sheet name="2019" sheetId="10" r:id="rId4"/>
    <sheet name="2018" sheetId="14" r:id="rId5"/>
    <sheet name="2017 (empty)" sheetId="17" r:id="rId6"/>
    <sheet name="2016 (empty)" sheetId="16" r:id="rId7"/>
    <sheet name="2015" sheetId="15" r:id="rId8"/>
    <sheet name="Combined" sheetId="12" r:id="rId9"/>
    <sheet name="Events only" sheetId="23" r:id="rId10"/>
    <sheet name="Pivot Table" sheetId="19" r:id="rId11"/>
  </sheets>
  <definedNames>
    <definedName name="_xlnm._FilterDatabase" localSheetId="4" hidden="1">'2018'!$A$1:$IY$22</definedName>
    <definedName name="_xlnm._FilterDatabase" localSheetId="3" hidden="1">'2019'!$A$1:$IY$22</definedName>
    <definedName name="_xlnm._FilterDatabase" localSheetId="1" hidden="1">'2021'!$A$1:$IZ$22</definedName>
    <definedName name="_xlnm._FilterDatabase" localSheetId="8" hidden="1">Combined!$A$1:$JI$51</definedName>
  </definedNames>
  <calcPr calcId="191029"/>
  <pivotCaches>
    <pivotCache cacheId="0" r:id="rId1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4" i="20" l="1"/>
  <c r="F75" i="20"/>
  <c r="F73" i="20"/>
  <c r="F72" i="20"/>
  <c r="F71" i="20"/>
  <c r="R11" i="23"/>
  <c r="E11" i="23"/>
  <c r="D11" i="23"/>
  <c r="Z10" i="23"/>
  <c r="Y10" i="23"/>
  <c r="Z9" i="23"/>
  <c r="Y9" i="23"/>
  <c r="U8" i="23"/>
  <c r="T8" i="23"/>
  <c r="R8" i="23"/>
  <c r="Z8" i="23" s="1"/>
  <c r="Z7" i="23"/>
  <c r="Y7" i="23"/>
  <c r="U7" i="23"/>
  <c r="T7" i="23"/>
  <c r="S7" i="23"/>
  <c r="Z6" i="23"/>
  <c r="Y6" i="23"/>
  <c r="U6" i="23"/>
  <c r="T6" i="23"/>
  <c r="S6" i="23"/>
  <c r="Z5" i="23"/>
  <c r="Y5" i="23"/>
  <c r="U5" i="23"/>
  <c r="T5" i="23"/>
  <c r="S5" i="23"/>
  <c r="U4" i="23"/>
  <c r="R4" i="23"/>
  <c r="T4" i="23" s="1"/>
  <c r="Z3" i="23"/>
  <c r="U3" i="23"/>
  <c r="T3" i="23"/>
  <c r="S3" i="23"/>
  <c r="R3" i="23"/>
  <c r="Y3" i="23" s="1"/>
  <c r="U2" i="23"/>
  <c r="R2" i="23"/>
  <c r="T2" i="23" s="1"/>
  <c r="B75" i="20"/>
  <c r="B74" i="20"/>
  <c r="B73" i="20"/>
  <c r="B72" i="20"/>
  <c r="B71" i="20"/>
  <c r="V39" i="19"/>
  <c r="V38" i="19"/>
  <c r="U38" i="19"/>
  <c r="T38" i="19"/>
  <c r="J17" i="13"/>
  <c r="N17" i="13" s="1"/>
  <c r="L16" i="13"/>
  <c r="J16" i="13"/>
  <c r="N16" i="13" s="1"/>
  <c r="J15" i="13"/>
  <c r="L15" i="13" s="1"/>
  <c r="J14" i="13"/>
  <c r="M14" i="13" s="1"/>
  <c r="J13" i="13"/>
  <c r="N13" i="13" s="1"/>
  <c r="J12" i="13"/>
  <c r="N12" i="13" s="1"/>
  <c r="J11" i="13"/>
  <c r="L11" i="13" s="1"/>
  <c r="V7" i="19"/>
  <c r="V6" i="19"/>
  <c r="Z2" i="23" l="1"/>
  <c r="S4" i="23"/>
  <c r="Y8" i="23"/>
  <c r="Y2" i="23"/>
  <c r="Y4" i="23"/>
  <c r="S2" i="23"/>
  <c r="Z4" i="23"/>
  <c r="S8" i="23"/>
  <c r="K12" i="13"/>
  <c r="K13" i="13"/>
  <c r="M15" i="13"/>
  <c r="L12" i="13"/>
  <c r="L13" i="13"/>
  <c r="M11" i="13"/>
  <c r="M12" i="13"/>
  <c r="K16" i="13"/>
  <c r="K17" i="13"/>
  <c r="L17" i="13"/>
  <c r="M16" i="13"/>
  <c r="N11" i="13"/>
  <c r="N15" i="13"/>
  <c r="K11" i="13"/>
  <c r="M13" i="13"/>
  <c r="L14" i="13"/>
  <c r="K15" i="13"/>
  <c r="M17" i="13"/>
  <c r="N14" i="13"/>
  <c r="K14" i="13"/>
  <c r="H20" i="15" l="1"/>
  <c r="I3" i="15"/>
  <c r="I4" i="15"/>
  <c r="I5" i="15"/>
  <c r="I6" i="15"/>
  <c r="I7" i="15"/>
  <c r="I8" i="15"/>
  <c r="I9" i="15"/>
  <c r="I10" i="15"/>
  <c r="I11" i="15"/>
  <c r="I12" i="15"/>
  <c r="I13" i="15"/>
  <c r="I14" i="15"/>
  <c r="I15" i="15"/>
  <c r="I16" i="15"/>
  <c r="I17" i="15"/>
  <c r="I18" i="15"/>
  <c r="I19" i="15"/>
  <c r="I2" i="15"/>
  <c r="A50" i="20"/>
  <c r="B50" i="20"/>
  <c r="C50" i="20"/>
  <c r="D50" i="20"/>
  <c r="A51" i="20"/>
  <c r="B51" i="20"/>
  <c r="C51" i="20"/>
  <c r="D51" i="20"/>
  <c r="A53" i="20"/>
  <c r="B53" i="20"/>
  <c r="C53" i="20"/>
  <c r="D53" i="20"/>
  <c r="A54" i="20"/>
  <c r="B54" i="20"/>
  <c r="C54" i="20"/>
  <c r="D54" i="20"/>
  <c r="A55" i="20"/>
  <c r="B55" i="20"/>
  <c r="C55" i="20"/>
  <c r="D55" i="20"/>
  <c r="A56" i="20"/>
  <c r="B56" i="20"/>
  <c r="C56" i="20"/>
  <c r="D56" i="20"/>
  <c r="E31" i="19"/>
  <c r="D31" i="19"/>
  <c r="C31" i="19"/>
  <c r="B31" i="19"/>
  <c r="C11" i="19"/>
  <c r="D11" i="19"/>
  <c r="B11" i="19"/>
  <c r="O19" i="19"/>
  <c r="O17" i="19"/>
  <c r="C29" i="20" s="1"/>
  <c r="O18" i="19"/>
  <c r="C30" i="20" s="1"/>
  <c r="O16" i="19"/>
  <c r="C28" i="20" s="1"/>
  <c r="O15" i="19"/>
  <c r="C27" i="20" s="1"/>
  <c r="J18" i="19"/>
  <c r="B30" i="20" s="1"/>
  <c r="J19" i="19"/>
  <c r="J16" i="19"/>
  <c r="B28" i="20" s="1"/>
  <c r="J17" i="19"/>
  <c r="B29" i="20" s="1"/>
  <c r="J15" i="19"/>
  <c r="B27" i="20" s="1"/>
  <c r="O5" i="19"/>
  <c r="C21" i="20" s="1"/>
  <c r="O6" i="19"/>
  <c r="C22" i="20" s="1"/>
  <c r="O7" i="19"/>
  <c r="C23" i="20" s="1"/>
  <c r="O8" i="19"/>
  <c r="C24" i="20" s="1"/>
  <c r="O9" i="19"/>
  <c r="O4" i="19"/>
  <c r="C19" i="20" s="1"/>
  <c r="J5" i="19"/>
  <c r="B21" i="20" s="1"/>
  <c r="J6" i="19"/>
  <c r="B22" i="20" s="1"/>
  <c r="J7" i="19"/>
  <c r="B23" i="20" s="1"/>
  <c r="J8" i="19"/>
  <c r="B24" i="20" s="1"/>
  <c r="J9" i="19"/>
  <c r="J4" i="19"/>
  <c r="B19" i="20" s="1"/>
  <c r="C18" i="20"/>
  <c r="B1" i="20"/>
  <c r="C1" i="20"/>
  <c r="D1" i="20"/>
  <c r="A2" i="20"/>
  <c r="A4" i="20"/>
  <c r="A5" i="20"/>
  <c r="A6" i="20"/>
  <c r="A7" i="20"/>
  <c r="H25" i="19"/>
  <c r="D4" i="20" s="1"/>
  <c r="H26" i="19"/>
  <c r="D5" i="20" s="1"/>
  <c r="H27" i="19"/>
  <c r="D6" i="20" s="1"/>
  <c r="H28" i="19"/>
  <c r="D7" i="20" s="1"/>
  <c r="H24" i="19"/>
  <c r="D2" i="20" s="1"/>
  <c r="G25" i="19"/>
  <c r="C4" i="20" s="1"/>
  <c r="G26" i="19"/>
  <c r="C5" i="20" s="1"/>
  <c r="G27" i="19"/>
  <c r="C6" i="20" s="1"/>
  <c r="G28" i="19"/>
  <c r="C7" i="20" s="1"/>
  <c r="G24" i="19"/>
  <c r="C2" i="20" s="1"/>
  <c r="F25" i="19"/>
  <c r="B4" i="20" s="1"/>
  <c r="F26" i="19"/>
  <c r="B5" i="20" s="1"/>
  <c r="F27" i="19"/>
  <c r="B6" i="20" s="1"/>
  <c r="F28" i="19"/>
  <c r="B7" i="20" s="1"/>
  <c r="F24" i="19"/>
  <c r="B2" i="20" s="1"/>
  <c r="B8" i="20" s="1"/>
  <c r="M19" i="15"/>
  <c r="Z12" i="12"/>
  <c r="Z21" i="12"/>
  <c r="Z26" i="12"/>
  <c r="Z27" i="12"/>
  <c r="Z43" i="12"/>
  <c r="Z44" i="12"/>
  <c r="Z45" i="12"/>
  <c r="Z46" i="12"/>
  <c r="Z47" i="12"/>
  <c r="Z48" i="12"/>
  <c r="Z49" i="12"/>
  <c r="Z50" i="12"/>
  <c r="Z5" i="12"/>
  <c r="Z51" i="12"/>
  <c r="Z52" i="12"/>
  <c r="Z6" i="12"/>
  <c r="Z53" i="12"/>
  <c r="Z54" i="12"/>
  <c r="Z55" i="12"/>
  <c r="Z56" i="12"/>
  <c r="Z57" i="12"/>
  <c r="Z7" i="12"/>
  <c r="Y12" i="12"/>
  <c r="Y21" i="12"/>
  <c r="Y26" i="12"/>
  <c r="Y27" i="12"/>
  <c r="R4" i="12"/>
  <c r="Y4" i="12" s="1"/>
  <c r="R42" i="12"/>
  <c r="Y42" i="12" s="1"/>
  <c r="R41" i="12"/>
  <c r="Y41" i="12" s="1"/>
  <c r="R40" i="12"/>
  <c r="U40" i="12" s="1"/>
  <c r="R39" i="12"/>
  <c r="Y39" i="12" s="1"/>
  <c r="R38" i="12"/>
  <c r="Y38" i="12" s="1"/>
  <c r="R3" i="12"/>
  <c r="Y3" i="12" s="1"/>
  <c r="R37" i="12"/>
  <c r="U37" i="12" s="1"/>
  <c r="R36" i="12"/>
  <c r="Y36" i="12" s="1"/>
  <c r="R2" i="12"/>
  <c r="Y2" i="12" s="1"/>
  <c r="R35" i="12"/>
  <c r="Y35" i="12" s="1"/>
  <c r="R34" i="12"/>
  <c r="U34" i="12" s="1"/>
  <c r="R33" i="12"/>
  <c r="Y33" i="12" s="1"/>
  <c r="R32" i="12"/>
  <c r="Y32" i="12" s="1"/>
  <c r="R31" i="12"/>
  <c r="Y31" i="12" s="1"/>
  <c r="R30" i="12"/>
  <c r="U30" i="12" s="1"/>
  <c r="R29" i="12"/>
  <c r="Y29" i="12" s="1"/>
  <c r="R28" i="12"/>
  <c r="Y28" i="12" s="1"/>
  <c r="R25" i="12"/>
  <c r="Y25" i="12" s="1"/>
  <c r="R24" i="12"/>
  <c r="Y24" i="12" s="1"/>
  <c r="R23" i="12"/>
  <c r="Z23" i="12" s="1"/>
  <c r="R22" i="12"/>
  <c r="Z22" i="12" s="1"/>
  <c r="R20" i="12"/>
  <c r="Y20" i="12" s="1"/>
  <c r="R19" i="12"/>
  <c r="T19" i="12" s="1"/>
  <c r="R18" i="12"/>
  <c r="Z18" i="12" s="1"/>
  <c r="R17" i="12"/>
  <c r="Y17" i="12" s="1"/>
  <c r="R16" i="12"/>
  <c r="Y16" i="12" s="1"/>
  <c r="R15" i="12"/>
  <c r="Y15" i="12" s="1"/>
  <c r="R14" i="12"/>
  <c r="Y14" i="12" s="1"/>
  <c r="R13" i="12"/>
  <c r="Y13" i="12" s="1"/>
  <c r="R11" i="12"/>
  <c r="Y11" i="12" s="1"/>
  <c r="H2" i="15"/>
  <c r="H4" i="15"/>
  <c r="H5" i="15"/>
  <c r="H6" i="15"/>
  <c r="H7" i="15"/>
  <c r="H8" i="15"/>
  <c r="H9" i="15"/>
  <c r="H10" i="15"/>
  <c r="K10" i="15"/>
  <c r="H11" i="15"/>
  <c r="H13" i="15"/>
  <c r="H14" i="15"/>
  <c r="H15" i="15"/>
  <c r="H16" i="15"/>
  <c r="E19" i="15"/>
  <c r="F19" i="15"/>
  <c r="G19" i="15"/>
  <c r="K2" i="14"/>
  <c r="L2" i="14" s="1"/>
  <c r="N2" i="14"/>
  <c r="O2" i="14"/>
  <c r="K3" i="14"/>
  <c r="L3" i="14" s="1"/>
  <c r="M3" i="14"/>
  <c r="N3" i="14"/>
  <c r="O3" i="14"/>
  <c r="K4" i="14"/>
  <c r="L4" i="14"/>
  <c r="M4" i="14"/>
  <c r="N4" i="14"/>
  <c r="O4" i="14"/>
  <c r="K5" i="14"/>
  <c r="L5" i="14" s="1"/>
  <c r="O5" i="14"/>
  <c r="K6" i="14"/>
  <c r="L6" i="14" s="1"/>
  <c r="N6" i="14"/>
  <c r="O6" i="14"/>
  <c r="K7" i="14"/>
  <c r="L7" i="14" s="1"/>
  <c r="M7" i="14"/>
  <c r="N7" i="14"/>
  <c r="O7" i="14"/>
  <c r="K8" i="14"/>
  <c r="L8" i="14"/>
  <c r="M8" i="14"/>
  <c r="N8" i="14"/>
  <c r="O8" i="14"/>
  <c r="K9" i="14"/>
  <c r="L9" i="14" s="1"/>
  <c r="K10" i="14"/>
  <c r="L10" i="14" s="1"/>
  <c r="N10" i="14"/>
  <c r="O10" i="14"/>
  <c r="K11" i="14"/>
  <c r="L11" i="14" s="1"/>
  <c r="M11" i="14"/>
  <c r="N11" i="14"/>
  <c r="O11" i="14"/>
  <c r="K12" i="14"/>
  <c r="N12" i="14" s="1"/>
  <c r="L12" i="14"/>
  <c r="M12" i="14"/>
  <c r="O12" i="14"/>
  <c r="K13" i="14"/>
  <c r="L13" i="14" s="1"/>
  <c r="K14" i="14"/>
  <c r="L14" i="14" s="1"/>
  <c r="N14" i="14"/>
  <c r="O14" i="14"/>
  <c r="K15" i="14"/>
  <c r="L15" i="14" s="1"/>
  <c r="M15" i="14"/>
  <c r="N15" i="14"/>
  <c r="O15" i="14"/>
  <c r="K16" i="14"/>
  <c r="L16" i="14"/>
  <c r="M16" i="14"/>
  <c r="N16" i="14"/>
  <c r="O16" i="14"/>
  <c r="K17" i="14"/>
  <c r="L17" i="14" s="1"/>
  <c r="K18" i="14"/>
  <c r="L18" i="14" s="1"/>
  <c r="N18" i="14"/>
  <c r="O18" i="14"/>
  <c r="K19" i="14"/>
  <c r="L19" i="14" s="1"/>
  <c r="M19" i="14"/>
  <c r="N19" i="14"/>
  <c r="O19" i="14"/>
  <c r="K20" i="14"/>
  <c r="K21" i="14"/>
  <c r="E22" i="14"/>
  <c r="K22" i="14" s="1"/>
  <c r="F22" i="14"/>
  <c r="G22" i="14"/>
  <c r="H22" i="14"/>
  <c r="M22" i="14" s="1"/>
  <c r="I22" i="14"/>
  <c r="J22" i="14"/>
  <c r="V17" i="19"/>
  <c r="V13" i="19"/>
  <c r="V14" i="19"/>
  <c r="V16" i="19"/>
  <c r="V8" i="19"/>
  <c r="V5" i="19"/>
  <c r="V15" i="19"/>
  <c r="V4" i="19"/>
  <c r="V18" i="19"/>
  <c r="C8" i="20" l="1"/>
  <c r="D8" i="20"/>
  <c r="B32" i="19"/>
  <c r="C32" i="19"/>
  <c r="D32" i="19"/>
  <c r="H19" i="15"/>
  <c r="Y22" i="12"/>
  <c r="Z38" i="12"/>
  <c r="Z32" i="12"/>
  <c r="Z3" i="12"/>
  <c r="Z31" i="12"/>
  <c r="Z42" i="12"/>
  <c r="Z2" i="12"/>
  <c r="Z28" i="12"/>
  <c r="Z11" i="12"/>
  <c r="Z41" i="12"/>
  <c r="Z35" i="12"/>
  <c r="Y18" i="12"/>
  <c r="Z40" i="12"/>
  <c r="Z37" i="12"/>
  <c r="Z34" i="12"/>
  <c r="Z30" i="12"/>
  <c r="Z14" i="12"/>
  <c r="Y23" i="12"/>
  <c r="Z4" i="12"/>
  <c r="Z39" i="12"/>
  <c r="Z36" i="12"/>
  <c r="Z33" i="12"/>
  <c r="Z29" i="12"/>
  <c r="Z25" i="12"/>
  <c r="Z17" i="12"/>
  <c r="Z13" i="12"/>
  <c r="Z24" i="12"/>
  <c r="Z20" i="12"/>
  <c r="Z16" i="12"/>
  <c r="Z19" i="12"/>
  <c r="Z15" i="12"/>
  <c r="Y19" i="12"/>
  <c r="S41" i="12"/>
  <c r="T38" i="12"/>
  <c r="U31" i="12"/>
  <c r="T3" i="12"/>
  <c r="S31" i="12"/>
  <c r="S32" i="12"/>
  <c r="S36" i="12"/>
  <c r="U3" i="12"/>
  <c r="S29" i="12"/>
  <c r="T31" i="12"/>
  <c r="T32" i="12"/>
  <c r="S35" i="12"/>
  <c r="S4" i="12"/>
  <c r="S2" i="12"/>
  <c r="S42" i="12"/>
  <c r="S3" i="12"/>
  <c r="S38" i="12"/>
  <c r="S28" i="12"/>
  <c r="T28" i="12"/>
  <c r="S33" i="12"/>
  <c r="T35" i="12"/>
  <c r="T2" i="12"/>
  <c r="S39" i="12"/>
  <c r="T41" i="12"/>
  <c r="T42" i="12"/>
  <c r="U35" i="12"/>
  <c r="U41" i="12"/>
  <c r="Y34" i="12"/>
  <c r="Y37" i="12"/>
  <c r="Y40" i="12"/>
  <c r="U28" i="12"/>
  <c r="T29" i="12"/>
  <c r="S30" i="12"/>
  <c r="U32" i="12"/>
  <c r="T33" i="12"/>
  <c r="S34" i="12"/>
  <c r="U2" i="12"/>
  <c r="T36" i="12"/>
  <c r="S37" i="12"/>
  <c r="U38" i="12"/>
  <c r="T39" i="12"/>
  <c r="S40" i="12"/>
  <c r="U42" i="12"/>
  <c r="T4" i="12"/>
  <c r="Y30" i="12"/>
  <c r="U29" i="12"/>
  <c r="T30" i="12"/>
  <c r="U33" i="12"/>
  <c r="T34" i="12"/>
  <c r="U36" i="12"/>
  <c r="T37" i="12"/>
  <c r="U39" i="12"/>
  <c r="T40" i="12"/>
  <c r="U4" i="12"/>
  <c r="N22" i="14"/>
  <c r="L22" i="14"/>
  <c r="O13" i="14"/>
  <c r="O9" i="14"/>
  <c r="M18" i="14"/>
  <c r="N17" i="14"/>
  <c r="M14" i="14"/>
  <c r="N13" i="14"/>
  <c r="M10" i="14"/>
  <c r="N9" i="14"/>
  <c r="M6" i="14"/>
  <c r="N5" i="14"/>
  <c r="M2" i="14"/>
  <c r="O17" i="14"/>
  <c r="M17" i="14"/>
  <c r="M13" i="14"/>
  <c r="M9" i="14"/>
  <c r="M5" i="14"/>
  <c r="R79" i="12"/>
  <c r="R8" i="12"/>
  <c r="R78" i="12"/>
  <c r="R77" i="12"/>
  <c r="R76" i="12"/>
  <c r="R75" i="12"/>
  <c r="R74" i="12"/>
  <c r="R73" i="12"/>
  <c r="R72" i="12"/>
  <c r="Y72" i="12" l="1"/>
  <c r="Z72" i="12"/>
  <c r="T74" i="12"/>
  <c r="Z74" i="12"/>
  <c r="T78" i="12"/>
  <c r="Z78" i="12"/>
  <c r="Z81" i="12"/>
  <c r="Y81" i="12"/>
  <c r="Z84" i="12"/>
  <c r="Y84" i="12"/>
  <c r="S75" i="12"/>
  <c r="Z75" i="12"/>
  <c r="S8" i="12"/>
  <c r="Z8" i="12"/>
  <c r="Z9" i="12"/>
  <c r="Y9" i="12"/>
  <c r="Z10" i="12"/>
  <c r="Y10" i="12"/>
  <c r="Y76" i="12"/>
  <c r="Z76" i="12"/>
  <c r="Y79" i="12"/>
  <c r="Z79" i="12"/>
  <c r="Y82" i="12"/>
  <c r="Z82" i="12"/>
  <c r="U73" i="12"/>
  <c r="Z73" i="12"/>
  <c r="U77" i="12"/>
  <c r="Z77" i="12"/>
  <c r="Z80" i="12"/>
  <c r="Y80" i="12"/>
  <c r="Y83" i="12"/>
  <c r="Z83" i="12"/>
  <c r="U8" i="12"/>
  <c r="U79" i="12"/>
  <c r="T72" i="12"/>
  <c r="U74" i="12"/>
  <c r="U72" i="12"/>
  <c r="T79" i="12"/>
  <c r="T8" i="12"/>
  <c r="S76" i="12"/>
  <c r="T75" i="12"/>
  <c r="T76" i="12"/>
  <c r="U78" i="12"/>
  <c r="S72" i="12"/>
  <c r="U75" i="12"/>
  <c r="U76" i="12"/>
  <c r="S79" i="12"/>
  <c r="Y73" i="12"/>
  <c r="Y77" i="12"/>
  <c r="Y78" i="12"/>
  <c r="S74" i="12"/>
  <c r="S78" i="12"/>
  <c r="Y8" i="12"/>
  <c r="S73" i="12"/>
  <c r="Y74" i="12"/>
  <c r="S77" i="12"/>
  <c r="T73" i="12"/>
  <c r="Y75" i="12"/>
  <c r="T77" i="12"/>
  <c r="J2" i="13"/>
  <c r="K2" i="13" s="1"/>
  <c r="N2" i="13"/>
  <c r="J3" i="13"/>
  <c r="K3" i="13" s="1"/>
  <c r="M3" i="13"/>
  <c r="J4" i="13"/>
  <c r="K4" i="13" s="1"/>
  <c r="J5" i="13"/>
  <c r="K5" i="13" s="1"/>
  <c r="N5" i="13"/>
  <c r="J6" i="13"/>
  <c r="K6" i="13" s="1"/>
  <c r="N6" i="13"/>
  <c r="J7" i="13"/>
  <c r="K7" i="13" s="1"/>
  <c r="M7" i="13"/>
  <c r="J8" i="13"/>
  <c r="K8" i="13" s="1"/>
  <c r="L8" i="13"/>
  <c r="M8" i="13"/>
  <c r="J9" i="13"/>
  <c r="M9" i="13" s="1"/>
  <c r="J10" i="13"/>
  <c r="K10" i="13" s="1"/>
  <c r="J18" i="13"/>
  <c r="M18" i="13" s="1"/>
  <c r="B21" i="13"/>
  <c r="C21" i="13"/>
  <c r="D21" i="13"/>
  <c r="E21" i="13"/>
  <c r="F21" i="13"/>
  <c r="G21" i="13"/>
  <c r="H21" i="13"/>
  <c r="I21" i="13"/>
  <c r="O21" i="13"/>
  <c r="P21" i="13"/>
  <c r="N9" i="13" l="1"/>
  <c r="L9" i="13"/>
  <c r="N10" i="13"/>
  <c r="K9" i="13"/>
  <c r="N3" i="13"/>
  <c r="M5" i="13"/>
  <c r="N4" i="13"/>
  <c r="L5" i="13"/>
  <c r="M4" i="13"/>
  <c r="N8" i="13"/>
  <c r="N7" i="13"/>
  <c r="L4" i="13"/>
  <c r="N18" i="13"/>
  <c r="L18" i="13"/>
  <c r="M10" i="13"/>
  <c r="L7" i="13"/>
  <c r="M6" i="13"/>
  <c r="L3" i="13"/>
  <c r="M2" i="13"/>
  <c r="J21" i="13"/>
  <c r="L21" i="13" s="1"/>
  <c r="K18" i="13"/>
  <c r="L10" i="13"/>
  <c r="L6" i="13"/>
  <c r="L2" i="13"/>
  <c r="Y7" i="12"/>
  <c r="U7" i="12"/>
  <c r="T7" i="12"/>
  <c r="S7" i="12"/>
  <c r="Y57" i="12"/>
  <c r="U57" i="12"/>
  <c r="T57" i="12"/>
  <c r="S57" i="12"/>
  <c r="Y56" i="12"/>
  <c r="U56" i="12"/>
  <c r="T56" i="12"/>
  <c r="S56" i="12"/>
  <c r="Y55" i="12"/>
  <c r="U55" i="12"/>
  <c r="T55" i="12"/>
  <c r="S55" i="12"/>
  <c r="Y54" i="12"/>
  <c r="U54" i="12"/>
  <c r="T54" i="12"/>
  <c r="S54" i="12"/>
  <c r="Y53" i="12"/>
  <c r="U53" i="12"/>
  <c r="T53" i="12"/>
  <c r="S53" i="12"/>
  <c r="Y6" i="12"/>
  <c r="U6" i="12"/>
  <c r="T6" i="12"/>
  <c r="S6" i="12"/>
  <c r="Y52" i="12"/>
  <c r="U52" i="12"/>
  <c r="T52" i="12"/>
  <c r="S52" i="12"/>
  <c r="Y51" i="12"/>
  <c r="U51" i="12"/>
  <c r="T51" i="12"/>
  <c r="S51" i="12"/>
  <c r="Y5" i="12"/>
  <c r="U5" i="12"/>
  <c r="T5" i="12"/>
  <c r="S5" i="12"/>
  <c r="Y50" i="12"/>
  <c r="U50" i="12"/>
  <c r="T50" i="12"/>
  <c r="S50" i="12"/>
  <c r="Y49" i="12"/>
  <c r="U49" i="12"/>
  <c r="T49" i="12"/>
  <c r="S49" i="12"/>
  <c r="Y48" i="12"/>
  <c r="U48" i="12"/>
  <c r="T48" i="12"/>
  <c r="S48" i="12"/>
  <c r="Y47" i="12"/>
  <c r="U47" i="12"/>
  <c r="T47" i="12"/>
  <c r="S47" i="12"/>
  <c r="Y46" i="12"/>
  <c r="U46" i="12"/>
  <c r="T46" i="12"/>
  <c r="S46" i="12"/>
  <c r="Y45" i="12"/>
  <c r="U45" i="12"/>
  <c r="T45" i="12"/>
  <c r="S45" i="12"/>
  <c r="Y44" i="12"/>
  <c r="U44" i="12"/>
  <c r="T44" i="12"/>
  <c r="S44" i="12"/>
  <c r="Y43" i="12"/>
  <c r="U43" i="12"/>
  <c r="T43" i="12"/>
  <c r="S43" i="12"/>
  <c r="R71" i="12"/>
  <c r="R70" i="12"/>
  <c r="R69" i="12"/>
  <c r="R68" i="12"/>
  <c r="R67" i="12"/>
  <c r="R66" i="12"/>
  <c r="R65" i="12"/>
  <c r="R64" i="12"/>
  <c r="R63" i="12"/>
  <c r="R62" i="12"/>
  <c r="R61" i="12"/>
  <c r="R60" i="12"/>
  <c r="R59" i="12"/>
  <c r="R58" i="12"/>
  <c r="K22" i="10"/>
  <c r="J22" i="10"/>
  <c r="I22" i="10"/>
  <c r="H22" i="10"/>
  <c r="G22" i="10"/>
  <c r="F22" i="10"/>
  <c r="E22" i="10"/>
  <c r="D22" i="10"/>
  <c r="N22" i="10" s="1"/>
  <c r="C22" i="10"/>
  <c r="B22" i="10"/>
  <c r="L2" i="10"/>
  <c r="M2" i="10"/>
  <c r="N2" i="10"/>
  <c r="O2" i="10"/>
  <c r="L3" i="10"/>
  <c r="M3" i="10"/>
  <c r="N3" i="10"/>
  <c r="O3" i="10"/>
  <c r="L4" i="10"/>
  <c r="M4" i="10"/>
  <c r="N4" i="10"/>
  <c r="O4" i="10"/>
  <c r="L5" i="10"/>
  <c r="M5" i="10"/>
  <c r="N5" i="10"/>
  <c r="O5" i="10"/>
  <c r="L6" i="10"/>
  <c r="M6" i="10"/>
  <c r="N6" i="10"/>
  <c r="O6" i="10"/>
  <c r="L7" i="10"/>
  <c r="M7" i="10"/>
  <c r="N7" i="10"/>
  <c r="O7" i="10"/>
  <c r="L8" i="10"/>
  <c r="M8" i="10"/>
  <c r="N8" i="10"/>
  <c r="O8" i="10"/>
  <c r="L9" i="10"/>
  <c r="M9" i="10"/>
  <c r="N9" i="10"/>
  <c r="O9" i="10"/>
  <c r="L10" i="10"/>
  <c r="M10" i="10"/>
  <c r="N10" i="10"/>
  <c r="O10" i="10"/>
  <c r="L11" i="10"/>
  <c r="M11" i="10"/>
  <c r="N11" i="10"/>
  <c r="O11" i="10"/>
  <c r="L12" i="10"/>
  <c r="M12" i="10"/>
  <c r="N12" i="10"/>
  <c r="O12" i="10"/>
  <c r="L13" i="10"/>
  <c r="M13" i="10"/>
  <c r="N13" i="10"/>
  <c r="O13" i="10"/>
  <c r="L14" i="10"/>
  <c r="M14" i="10"/>
  <c r="N14" i="10"/>
  <c r="O14" i="10"/>
  <c r="L15" i="10"/>
  <c r="M15" i="10"/>
  <c r="N15" i="10"/>
  <c r="O15" i="10"/>
  <c r="L16" i="10"/>
  <c r="M16" i="10"/>
  <c r="N16" i="10"/>
  <c r="O16" i="10"/>
  <c r="L17" i="10"/>
  <c r="M17" i="10"/>
  <c r="N17" i="10"/>
  <c r="O17" i="10"/>
  <c r="L18" i="10"/>
  <c r="M18" i="10"/>
  <c r="N18" i="10"/>
  <c r="O18" i="10"/>
  <c r="L19" i="10"/>
  <c r="M19" i="10"/>
  <c r="N19" i="10"/>
  <c r="O19" i="10"/>
  <c r="Y60" i="12" l="1"/>
  <c r="Z60" i="12"/>
  <c r="Y68" i="12"/>
  <c r="Z68" i="12"/>
  <c r="S61" i="12"/>
  <c r="Z61" i="12"/>
  <c r="S65" i="12"/>
  <c r="Z65" i="12"/>
  <c r="S69" i="12"/>
  <c r="Z69" i="12"/>
  <c r="Y64" i="12"/>
  <c r="Z64" i="12"/>
  <c r="Y58" i="12"/>
  <c r="Z58" i="12"/>
  <c r="Y62" i="12"/>
  <c r="Z62" i="12"/>
  <c r="Y66" i="12"/>
  <c r="Z66" i="12"/>
  <c r="S70" i="12"/>
  <c r="Z70" i="12"/>
  <c r="Y59" i="12"/>
  <c r="Z59" i="12"/>
  <c r="S63" i="12"/>
  <c r="Z63" i="12"/>
  <c r="S67" i="12"/>
  <c r="Z67" i="12"/>
  <c r="Y71" i="12"/>
  <c r="Z71" i="12"/>
  <c r="L22" i="10"/>
  <c r="M22" i="10"/>
  <c r="O22" i="10"/>
  <c r="U58" i="12"/>
  <c r="N21" i="13"/>
  <c r="M21" i="13"/>
  <c r="K21" i="13"/>
  <c r="U63" i="12"/>
  <c r="T67" i="12"/>
  <c r="T68" i="12"/>
  <c r="S71" i="12"/>
  <c r="S59" i="12"/>
  <c r="S60" i="12"/>
  <c r="U62" i="12"/>
  <c r="U67" i="12"/>
  <c r="T70" i="12"/>
  <c r="T71" i="12"/>
  <c r="T59" i="12"/>
  <c r="T60" i="12"/>
  <c r="S64" i="12"/>
  <c r="U66" i="12"/>
  <c r="U70" i="12"/>
  <c r="U59" i="12"/>
  <c r="T63" i="12"/>
  <c r="T64" i="12"/>
  <c r="S68" i="12"/>
  <c r="S58" i="12"/>
  <c r="U60" i="12"/>
  <c r="T61" i="12"/>
  <c r="S62" i="12"/>
  <c r="Y63" i="12"/>
  <c r="U64" i="12"/>
  <c r="T65" i="12"/>
  <c r="S66" i="12"/>
  <c r="Y67" i="12"/>
  <c r="U68" i="12"/>
  <c r="T69" i="12"/>
  <c r="Y70" i="12"/>
  <c r="U71" i="12"/>
  <c r="T58" i="12"/>
  <c r="U61" i="12"/>
  <c r="T62" i="12"/>
  <c r="U65" i="12"/>
  <c r="T66" i="12"/>
  <c r="U69" i="12"/>
  <c r="Y61" i="12"/>
  <c r="Y65" i="12"/>
  <c r="Y69" i="12"/>
  <c r="P18" i="6"/>
  <c r="O18" i="6"/>
  <c r="I18" i="6"/>
  <c r="H18" i="6"/>
  <c r="G18" i="6"/>
  <c r="F18" i="6"/>
  <c r="E18" i="6"/>
  <c r="D18" i="6"/>
  <c r="C18" i="6"/>
  <c r="B18" i="6"/>
  <c r="J16" i="6"/>
  <c r="L16" i="6" s="1"/>
  <c r="J15" i="6"/>
  <c r="M15" i="6" s="1"/>
  <c r="K14" i="6"/>
  <c r="J14" i="6"/>
  <c r="N14" i="6" s="1"/>
  <c r="M13" i="6"/>
  <c r="J13" i="6"/>
  <c r="J12" i="6"/>
  <c r="L12" i="6" s="1"/>
  <c r="J11" i="6"/>
  <c r="M11" i="6" s="1"/>
  <c r="M10" i="6"/>
  <c r="K10" i="6"/>
  <c r="J10" i="6"/>
  <c r="N10" i="6" s="1"/>
  <c r="J9" i="6"/>
  <c r="K9" i="6" s="1"/>
  <c r="J8" i="6"/>
  <c r="J7" i="6"/>
  <c r="M7" i="6" s="1"/>
  <c r="K6" i="6"/>
  <c r="J6" i="6"/>
  <c r="N6" i="6" s="1"/>
  <c r="M5" i="6"/>
  <c r="J5" i="6"/>
  <c r="K5" i="6" s="1"/>
  <c r="J4" i="6"/>
  <c r="J3" i="6"/>
  <c r="M3" i="6" s="1"/>
  <c r="M2" i="6"/>
  <c r="L2" i="6"/>
  <c r="K2" i="6"/>
  <c r="J2" i="6"/>
  <c r="M6" i="6" l="1"/>
  <c r="L10" i="6"/>
  <c r="M14" i="6"/>
  <c r="L4" i="6"/>
  <c r="M4" i="6"/>
  <c r="L9" i="6"/>
  <c r="M12" i="6"/>
  <c r="L8" i="6"/>
  <c r="M9" i="6"/>
  <c r="K13" i="6"/>
  <c r="N2" i="6"/>
  <c r="L5" i="6"/>
  <c r="L6" i="6"/>
  <c r="M8" i="6"/>
  <c r="L13" i="6"/>
  <c r="L14" i="6"/>
  <c r="M16" i="6"/>
  <c r="N15" i="6"/>
  <c r="N3" i="6"/>
  <c r="K7" i="6"/>
  <c r="N8" i="6"/>
  <c r="K11" i="6"/>
  <c r="N12" i="6"/>
  <c r="K4" i="6"/>
  <c r="L7" i="6"/>
  <c r="N9" i="6"/>
  <c r="L11" i="6"/>
  <c r="L15" i="6"/>
  <c r="K16" i="6"/>
  <c r="N7" i="6"/>
  <c r="N11" i="6"/>
  <c r="K3" i="6"/>
  <c r="N4" i="6"/>
  <c r="K15" i="6"/>
  <c r="N16" i="6"/>
  <c r="J18" i="6"/>
  <c r="N18" i="6" s="1"/>
  <c r="L3" i="6"/>
  <c r="N5" i="6"/>
  <c r="K8" i="6"/>
  <c r="K12" i="6"/>
  <c r="N13" i="6"/>
  <c r="L18" i="6" l="1"/>
  <c r="K18" i="6"/>
  <c r="M18" i="6"/>
</calcChain>
</file>

<file path=xl/sharedStrings.xml><?xml version="1.0" encoding="utf-8"?>
<sst xmlns="http://schemas.openxmlformats.org/spreadsheetml/2006/main" count="554" uniqueCount="126">
  <si>
    <t>Date</t>
  </si>
  <si>
    <t>Visitors</t>
  </si>
  <si>
    <t>Vendors</t>
  </si>
  <si>
    <t>Merch</t>
  </si>
  <si>
    <t>Prepared</t>
  </si>
  <si>
    <t>Produce &amp; Baked Goods</t>
  </si>
  <si>
    <t>SNAP</t>
  </si>
  <si>
    <t>FDNP</t>
  </si>
  <si>
    <t>Non-Food</t>
  </si>
  <si>
    <t>Total Sales</t>
  </si>
  <si>
    <t>% Food</t>
  </si>
  <si>
    <t>% S/F</t>
  </si>
  <si>
    <t>% Other</t>
  </si>
  <si>
    <t>Sales per visitor</t>
  </si>
  <si>
    <t>HUB</t>
  </si>
  <si>
    <t>HUB SHOPPERS</t>
  </si>
  <si>
    <t>Comments</t>
  </si>
  <si>
    <t>Walk In Market Opening Day</t>
  </si>
  <si>
    <t>Independence Day</t>
  </si>
  <si>
    <t>Clatskanie Festival</t>
  </si>
  <si>
    <t>Market closed due to smoke</t>
  </si>
  <si>
    <t>Last market day 2020</t>
  </si>
  <si>
    <t xml:space="preserve"> </t>
  </si>
  <si>
    <t>Total Visitors</t>
  </si>
  <si>
    <t>Ave Vendors</t>
  </si>
  <si>
    <t>Thank you vendors for turning in your sales data each and every week!</t>
  </si>
  <si>
    <t xml:space="preserve">This helps us plan for the growth of the market and is essential to our participation in the </t>
  </si>
  <si>
    <t>New &amp; Beginning Vendor Project that we are part of through the OFMA/OSU Grant. You are all appreciated!</t>
  </si>
  <si>
    <t>Month</t>
  </si>
  <si>
    <t>June</t>
  </si>
  <si>
    <t>July</t>
  </si>
  <si>
    <t>Aug</t>
  </si>
  <si>
    <t>Sep</t>
  </si>
  <si>
    <t># market days</t>
  </si>
  <si>
    <t>Apple Pressing/Last Day</t>
  </si>
  <si>
    <t>Soccer Jamboree</t>
  </si>
  <si>
    <t>Labor Day Weekend</t>
  </si>
  <si>
    <t>OSU Nutrition Demo</t>
  </si>
  <si>
    <t>Garlic Festival</t>
  </si>
  <si>
    <t>Nat Farmers Market Week</t>
  </si>
  <si>
    <t>Bee Day/City Garage Sale</t>
  </si>
  <si>
    <t>Columbia County Fair</t>
  </si>
  <si>
    <t>Rainier Days</t>
  </si>
  <si>
    <t>No Food Cart</t>
  </si>
  <si>
    <t>Car Show - Heritage Days</t>
  </si>
  <si>
    <t>Morning Rain</t>
  </si>
  <si>
    <t>Father's Day/Bike Ride</t>
  </si>
  <si>
    <t>High School Graduation</t>
  </si>
  <si>
    <t>Opening Day</t>
  </si>
  <si>
    <t>POP</t>
  </si>
  <si>
    <t>Service</t>
  </si>
  <si>
    <t>Bee Day</t>
  </si>
  <si>
    <t>105 degree temp</t>
  </si>
  <si>
    <t>DUFB</t>
  </si>
  <si>
    <t>Visitors/day</t>
  </si>
  <si>
    <t>Rain</t>
  </si>
  <si>
    <t>Crepes/Light Rain</t>
  </si>
  <si>
    <t>Car Show</t>
  </si>
  <si>
    <t>Kid's Day</t>
  </si>
  <si>
    <t>Light Rain</t>
  </si>
  <si>
    <t>Reports</t>
  </si>
  <si>
    <t>July 11 = Rainier Days ; July 18 = Col.Co.Fair; Aug 29 Rain out</t>
  </si>
  <si>
    <t>TOTAL:</t>
  </si>
  <si>
    <t>42(rain)</t>
  </si>
  <si>
    <t>% S/W/F</t>
  </si>
  <si>
    <t>Other Sales</t>
  </si>
  <si>
    <t>SNAP/WIC/FDNP</t>
  </si>
  <si>
    <t>Food Sales</t>
  </si>
  <si>
    <t># Reports</t>
  </si>
  <si>
    <t>Ranier days</t>
  </si>
  <si>
    <t>Col.Co.Fair</t>
  </si>
  <si>
    <t>August</t>
  </si>
  <si>
    <t>Row Labels</t>
  </si>
  <si>
    <t>Grand Total</t>
  </si>
  <si>
    <t>Average sales per visitor</t>
  </si>
  <si>
    <t>Average sales per vendor</t>
  </si>
  <si>
    <t>Sum of Visitors</t>
  </si>
  <si>
    <t>Average of Visitors</t>
  </si>
  <si>
    <t>Sum of Vendors</t>
  </si>
  <si>
    <t>Average of Vendors</t>
  </si>
  <si>
    <t>Year</t>
  </si>
  <si>
    <t>2015</t>
  </si>
  <si>
    <t>2018</t>
  </si>
  <si>
    <t>2019</t>
  </si>
  <si>
    <t>2020</t>
  </si>
  <si>
    <t>2021</t>
  </si>
  <si>
    <t>Sum of Total Sales</t>
  </si>
  <si>
    <t>Average of Total Sales</t>
  </si>
  <si>
    <t>Sum of HUB</t>
  </si>
  <si>
    <t>Totals:</t>
  </si>
  <si>
    <t>Sum of Merch</t>
  </si>
  <si>
    <t>Average sales/visitor</t>
  </si>
  <si>
    <t>Hub</t>
  </si>
  <si>
    <t>Average sales/vendor</t>
  </si>
  <si>
    <t>sum</t>
  </si>
  <si>
    <t>Vendors/day</t>
  </si>
  <si>
    <t>Sales/day</t>
  </si>
  <si>
    <t>not including 2017</t>
  </si>
  <si>
    <t>Average</t>
  </si>
  <si>
    <t>$192 average sales/vendor</t>
  </si>
  <si>
    <t>Adjusted using formulas</t>
  </si>
  <si>
    <t>Last Day</t>
  </si>
  <si>
    <t>refresh</t>
  </si>
  <si>
    <t>Average % Food</t>
  </si>
  <si>
    <t>Average % S/F</t>
  </si>
  <si>
    <t>Average% Other</t>
  </si>
  <si>
    <t xml:space="preserve"> SNAP/WIC/FDNP</t>
  </si>
  <si>
    <t xml:space="preserve"> SNAP</t>
  </si>
  <si>
    <t>Total $ by year</t>
  </si>
  <si>
    <t>Event day?</t>
  </si>
  <si>
    <t>Yes</t>
  </si>
  <si>
    <t>Not able to obtain an Excel form of data</t>
  </si>
  <si>
    <t>Averages</t>
  </si>
  <si>
    <t>Totals</t>
  </si>
  <si>
    <t>Sales</t>
  </si>
  <si>
    <t>Market days</t>
  </si>
  <si>
    <t>All years</t>
  </si>
  <si>
    <t>visitors/day</t>
  </si>
  <si>
    <t>vendors/day</t>
  </si>
  <si>
    <t>sales/day</t>
  </si>
  <si>
    <t>Spent by visitors per day</t>
  </si>
  <si>
    <t>Vendors made per day</t>
  </si>
  <si>
    <t>Market events</t>
  </si>
  <si>
    <t>No</t>
  </si>
  <si>
    <t xml:space="preserve">Last Day 2021 apple pressing </t>
  </si>
  <si>
    <t>Event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</si>
</sst>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[$-409]d\-mmm;@"/>
    <numFmt numFmtId="165" formatCode="&quot;$&quot;#,##0.00"/>
    <numFmt numFmtId="166" formatCode="&quot;$&quot;#,##0"/>
    <numFmt numFmtId="167" formatCode="m/d/yy;@"/>
    <numFmt numFmtId="168" formatCode="&quot;$&quot;#,##0.00;[Red]&quot;$&quot;#,##0.00"/>
    <numFmt numFmtId="169" formatCode="[$-409]mmmm\ d\,\ yyyy;@"/>
  </numFmts>
  <fonts count="22" x14ac:knownFonts="1">
    <font>
      <sz val="12"/>
      <color indexed="8"/>
      <name val="Verdana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12"/>
      <color indexed="8"/>
      <name val="Verdana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Verdana"/>
    </font>
    <font>
      <sz val="11"/>
      <color indexed="8"/>
      <name val="Calibri"/>
    </font>
    <font>
      <b/>
      <sz val="11"/>
      <color indexed="8"/>
      <name val="Calibri"/>
    </font>
    <font>
      <sz val="11"/>
      <color rgb="FF000000"/>
      <name val="Calibri"/>
    </font>
    <font>
      <b/>
      <sz val="8"/>
      <color indexed="8"/>
      <name val="Calibri"/>
    </font>
    <font>
      <b/>
      <sz val="12"/>
      <color indexed="8"/>
      <name val="Verdana"/>
      <family val="2"/>
    </font>
    <font>
      <sz val="8"/>
      <name val="Verdana"/>
      <family val="2"/>
    </font>
    <font>
      <i/>
      <sz val="12"/>
      <color theme="4" tint="0.39997558519241921"/>
      <name val="Verdana"/>
      <family val="2"/>
    </font>
    <font>
      <sz val="12"/>
      <color theme="4"/>
      <name val="Verdana"/>
      <family val="2"/>
    </font>
    <font>
      <i/>
      <sz val="10"/>
      <color theme="4"/>
      <name val="Verdana"/>
      <family val="2"/>
    </font>
    <font>
      <sz val="12"/>
      <color rgb="FFC00000"/>
      <name val="Verdana"/>
      <family val="2"/>
    </font>
    <font>
      <sz val="12"/>
      <color rgb="FF0070C0"/>
      <name val="Verdana"/>
      <family val="2"/>
    </font>
    <font>
      <sz val="12"/>
      <color theme="2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10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251">
    <xf numFmtId="0" fontId="0" fillId="0" borderId="0" xfId="0" applyFont="1" applyAlignment="1">
      <alignment vertical="top" wrapText="1"/>
    </xf>
    <xf numFmtId="164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 wrapText="1"/>
    </xf>
    <xf numFmtId="0" fontId="1" fillId="0" borderId="6" xfId="0" applyNumberFormat="1" applyFont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1" fontId="2" fillId="0" borderId="2" xfId="0" applyNumberFormat="1" applyFont="1" applyBorder="1" applyAlignment="1">
      <alignment horizontal="center" wrapText="1"/>
    </xf>
    <xf numFmtId="0" fontId="3" fillId="0" borderId="0" xfId="0" applyFont="1" applyAlignment="1">
      <alignment vertical="top" wrapText="1"/>
    </xf>
    <xf numFmtId="44" fontId="4" fillId="2" borderId="18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0" fontId="3" fillId="0" borderId="0" xfId="0" applyNumberFormat="1" applyFont="1" applyAlignment="1">
      <alignment horizontal="center" vertical="top"/>
    </xf>
    <xf numFmtId="0" fontId="3" fillId="0" borderId="0" xfId="0" applyNumberFormat="1" applyFont="1" applyAlignment="1"/>
    <xf numFmtId="164" fontId="3" fillId="0" borderId="0" xfId="0" applyNumberFormat="1" applyFont="1" applyAlignment="1">
      <alignment vertical="top"/>
    </xf>
    <xf numFmtId="0" fontId="3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vertical="top"/>
    </xf>
    <xf numFmtId="16" fontId="3" fillId="0" borderId="0" xfId="0" applyNumberFormat="1" applyFont="1" applyAlignment="1">
      <alignment horizontal="left" vertical="top"/>
    </xf>
    <xf numFmtId="164" fontId="1" fillId="0" borderId="9" xfId="0" applyNumberFormat="1" applyFont="1" applyFill="1" applyBorder="1" applyAlignment="1"/>
    <xf numFmtId="164" fontId="1" fillId="0" borderId="3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/>
    </xf>
    <xf numFmtId="44" fontId="4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1" fontId="4" fillId="0" borderId="16" xfId="0" applyNumberFormat="1" applyFont="1" applyFill="1" applyBorder="1" applyAlignment="1">
      <alignment horizontal="center"/>
    </xf>
    <xf numFmtId="44" fontId="4" fillId="0" borderId="16" xfId="0" applyNumberFormat="1" applyFont="1" applyFill="1" applyBorder="1" applyAlignment="1">
      <alignment horizontal="center"/>
    </xf>
    <xf numFmtId="44" fontId="4" fillId="0" borderId="17" xfId="0" applyNumberFormat="1" applyFont="1" applyFill="1" applyBorder="1" applyAlignment="1">
      <alignment horizontal="center"/>
    </xf>
    <xf numFmtId="164" fontId="1" fillId="0" borderId="15" xfId="0" applyNumberFormat="1" applyFont="1" applyFill="1" applyBorder="1" applyAlignment="1"/>
    <xf numFmtId="44" fontId="4" fillId="0" borderId="14" xfId="0" applyNumberFormat="1" applyFont="1" applyFill="1" applyBorder="1" applyAlignment="1">
      <alignment horizontal="center"/>
    </xf>
    <xf numFmtId="44" fontId="4" fillId="0" borderId="20" xfId="0" applyNumberFormat="1" applyFont="1" applyFill="1" applyBorder="1" applyAlignment="1">
      <alignment horizontal="center"/>
    </xf>
    <xf numFmtId="9" fontId="1" fillId="0" borderId="8" xfId="0" applyNumberFormat="1" applyFont="1" applyBorder="1" applyAlignment="1">
      <alignment horizontal="center"/>
    </xf>
    <xf numFmtId="9" fontId="4" fillId="0" borderId="7" xfId="0" applyNumberFormat="1" applyFont="1" applyFill="1" applyBorder="1" applyAlignment="1">
      <alignment horizontal="center"/>
    </xf>
    <xf numFmtId="9" fontId="4" fillId="0" borderId="19" xfId="0" applyNumberFormat="1" applyFont="1" applyFill="1" applyBorder="1" applyAlignment="1">
      <alignment horizontal="center"/>
    </xf>
    <xf numFmtId="9" fontId="3" fillId="0" borderId="0" xfId="0" applyNumberFormat="1" applyFont="1" applyAlignment="1">
      <alignment horizontal="center" vertical="top" wrapText="1"/>
    </xf>
    <xf numFmtId="9" fontId="3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left" vertical="top" wrapText="1" indent="1"/>
    </xf>
    <xf numFmtId="0" fontId="0" fillId="0" borderId="0" xfId="0" applyFont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10" fontId="4" fillId="0" borderId="7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44" fontId="4" fillId="0" borderId="10" xfId="0" applyNumberFormat="1" applyFont="1" applyFill="1" applyBorder="1" applyAlignment="1">
      <alignment horizontal="center"/>
    </xf>
    <xf numFmtId="44" fontId="4" fillId="0" borderId="11" xfId="0" applyNumberFormat="1" applyFont="1" applyFill="1" applyBorder="1" applyAlignment="1">
      <alignment horizontal="center"/>
    </xf>
    <xf numFmtId="9" fontId="4" fillId="0" borderId="13" xfId="0" applyNumberFormat="1" applyFont="1" applyFill="1" applyBorder="1" applyAlignment="1">
      <alignment horizontal="center"/>
    </xf>
    <xf numFmtId="44" fontId="4" fillId="2" borderId="12" xfId="0" applyNumberFormat="1" applyFont="1" applyFill="1" applyBorder="1" applyAlignment="1">
      <alignment horizontal="center"/>
    </xf>
    <xf numFmtId="165" fontId="7" fillId="0" borderId="21" xfId="0" applyNumberFormat="1" applyFont="1" applyFill="1" applyBorder="1" applyAlignment="1">
      <alignment horizontal="center" vertical="center"/>
    </xf>
    <xf numFmtId="165" fontId="7" fillId="2" borderId="21" xfId="0" applyNumberFormat="1" applyFont="1" applyFill="1" applyBorder="1" applyAlignment="1">
      <alignment horizontal="center" vertical="center"/>
    </xf>
    <xf numFmtId="164" fontId="3" fillId="0" borderId="21" xfId="0" applyNumberFormat="1" applyFont="1" applyFill="1" applyBorder="1" applyAlignment="1">
      <alignment vertical="center" wrapText="1"/>
    </xf>
    <xf numFmtId="1" fontId="3" fillId="0" borderId="21" xfId="0" applyNumberFormat="1" applyFont="1" applyFill="1" applyBorder="1" applyAlignment="1">
      <alignment horizontal="center" vertical="center" wrapText="1"/>
    </xf>
    <xf numFmtId="1" fontId="3" fillId="0" borderId="22" xfId="0" applyNumberFormat="1" applyFont="1" applyFill="1" applyBorder="1" applyAlignment="1">
      <alignment horizontal="center" vertical="center" wrapText="1"/>
    </xf>
    <xf numFmtId="165" fontId="1" fillId="0" borderId="23" xfId="0" applyNumberFormat="1" applyFont="1" applyFill="1" applyBorder="1" applyAlignment="1">
      <alignment horizontal="center" vertical="center"/>
    </xf>
    <xf numFmtId="44" fontId="1" fillId="0" borderId="21" xfId="0" applyNumberFormat="1" applyFont="1" applyFill="1" applyBorder="1" applyAlignment="1">
      <alignment horizontal="center" vertical="center"/>
    </xf>
    <xf numFmtId="9" fontId="4" fillId="0" borderId="21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165" fontId="4" fillId="0" borderId="16" xfId="0" applyNumberFormat="1" applyFont="1" applyFill="1" applyBorder="1" applyAlignment="1">
      <alignment horizontal="center"/>
    </xf>
    <xf numFmtId="1" fontId="2" fillId="0" borderId="25" xfId="0" applyNumberFormat="1" applyFont="1" applyBorder="1" applyAlignment="1">
      <alignment horizontal="left" wrapText="1" indent="1"/>
    </xf>
    <xf numFmtId="0" fontId="3" fillId="0" borderId="26" xfId="0" applyNumberFormat="1" applyFont="1" applyFill="1" applyBorder="1" applyAlignment="1">
      <alignment horizontal="left" vertical="top" wrapText="1" indent="1"/>
    </xf>
    <xf numFmtId="0" fontId="3" fillId="0" borderId="26" xfId="0" applyNumberFormat="1" applyFont="1" applyBorder="1" applyAlignment="1">
      <alignment horizontal="left" vertical="top" wrapText="1" indent="1"/>
    </xf>
    <xf numFmtId="0" fontId="1" fillId="3" borderId="6" xfId="0" applyNumberFormat="1" applyFont="1" applyFill="1" applyBorder="1" applyAlignment="1">
      <alignment horizontal="center"/>
    </xf>
    <xf numFmtId="0" fontId="8" fillId="3" borderId="24" xfId="0" applyNumberFormat="1" applyFont="1" applyFill="1" applyBorder="1" applyAlignment="1">
      <alignment horizontal="center"/>
    </xf>
    <xf numFmtId="44" fontId="4" fillId="3" borderId="11" xfId="0" applyNumberFormat="1" applyFont="1" applyFill="1" applyBorder="1" applyAlignment="1">
      <alignment horizontal="center"/>
    </xf>
    <xf numFmtId="0" fontId="4" fillId="3" borderId="27" xfId="0" applyNumberFormat="1" applyFont="1" applyFill="1" applyBorder="1" applyAlignment="1">
      <alignment horizontal="center"/>
    </xf>
    <xf numFmtId="0" fontId="4" fillId="3" borderId="24" xfId="0" applyNumberFormat="1" applyFont="1" applyFill="1" applyBorder="1" applyAlignment="1">
      <alignment horizontal="center"/>
    </xf>
    <xf numFmtId="44" fontId="4" fillId="3" borderId="17" xfId="0" applyNumberFormat="1" applyFont="1" applyFill="1" applyBorder="1" applyAlignment="1">
      <alignment horizontal="center"/>
    </xf>
    <xf numFmtId="44" fontId="1" fillId="3" borderId="22" xfId="0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center" vertical="center"/>
    </xf>
    <xf numFmtId="166" fontId="0" fillId="0" borderId="0" xfId="0" applyNumberFormat="1" applyFont="1" applyAlignment="1">
      <alignment vertical="top" wrapText="1"/>
    </xf>
    <xf numFmtId="0" fontId="3" fillId="0" borderId="0" xfId="0" applyFont="1">
      <alignment vertical="top" wrapText="1"/>
    </xf>
    <xf numFmtId="0" fontId="3" fillId="0" borderId="0" xfId="0" applyNumberFormat="1" applyFont="1">
      <alignment vertical="top" wrapText="1"/>
    </xf>
    <xf numFmtId="164" fontId="3" fillId="0" borderId="0" xfId="0" applyNumberFormat="1" applyFont="1">
      <alignment vertical="top" wrapText="1"/>
    </xf>
    <xf numFmtId="164" fontId="3" fillId="0" borderId="0" xfId="0" applyNumberFormat="1" applyFont="1" applyBorder="1">
      <alignment vertical="top" wrapText="1"/>
    </xf>
    <xf numFmtId="0" fontId="3" fillId="0" borderId="14" xfId="0" applyNumberFormat="1" applyFont="1" applyBorder="1" applyAlignment="1">
      <alignment horizontal="left" vertical="top" wrapText="1" indent="1"/>
    </xf>
    <xf numFmtId="0" fontId="3" fillId="0" borderId="0" xfId="0" applyFont="1" applyFill="1">
      <alignment vertical="top" wrapText="1"/>
    </xf>
    <xf numFmtId="0" fontId="3" fillId="0" borderId="0" xfId="0" applyNumberFormat="1" applyFont="1" applyFill="1">
      <alignment vertical="top" wrapText="1"/>
    </xf>
    <xf numFmtId="0" fontId="3" fillId="0" borderId="14" xfId="0" applyNumberFormat="1" applyFont="1" applyFill="1" applyBorder="1" applyAlignment="1">
      <alignment horizontal="left" vertical="top" wrapText="1" indent="1"/>
    </xf>
    <xf numFmtId="44" fontId="4" fillId="2" borderId="28" xfId="0" applyNumberFormat="1" applyFont="1" applyFill="1" applyBorder="1" applyAlignment="1">
      <alignment horizontal="center"/>
    </xf>
    <xf numFmtId="44" fontId="4" fillId="0" borderId="29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44" fontId="6" fillId="0" borderId="1" xfId="0" applyNumberFormat="1" applyFont="1" applyFill="1" applyBorder="1" applyAlignment="1">
      <alignment horizontal="center"/>
    </xf>
    <xf numFmtId="44" fontId="5" fillId="0" borderId="1" xfId="0" applyNumberFormat="1" applyFont="1" applyFill="1" applyBorder="1" applyAlignment="1">
      <alignment horizontal="center"/>
    </xf>
    <xf numFmtId="1" fontId="2" fillId="0" borderId="30" xfId="0" applyNumberFormat="1" applyFont="1" applyBorder="1" applyAlignment="1">
      <alignment horizontal="left" wrapText="1" indent="1"/>
    </xf>
    <xf numFmtId="0" fontId="0" fillId="0" borderId="0" xfId="0">
      <alignment vertical="top" wrapText="1"/>
    </xf>
    <xf numFmtId="1" fontId="0" fillId="0" borderId="0" xfId="0" applyNumberFormat="1" applyFont="1" applyAlignment="1">
      <alignment vertical="top" wrapText="1"/>
    </xf>
    <xf numFmtId="0" fontId="0" fillId="0" borderId="21" xfId="0" applyFont="1" applyBorder="1" applyAlignment="1">
      <alignment vertical="top" wrapText="1"/>
    </xf>
    <xf numFmtId="44" fontId="8" fillId="0" borderId="21" xfId="0" applyNumberFormat="1" applyFont="1" applyFill="1" applyBorder="1" applyAlignment="1">
      <alignment horizontal="center" vertical="center"/>
    </xf>
    <xf numFmtId="0" fontId="3" fillId="0" borderId="31" xfId="0" applyNumberFormat="1" applyFont="1" applyFill="1" applyBorder="1" applyAlignment="1">
      <alignment horizontal="center" vertical="top" wrapText="1"/>
    </xf>
    <xf numFmtId="9" fontId="4" fillId="0" borderId="8" xfId="0" applyNumberFormat="1" applyFont="1" applyFill="1" applyBorder="1" applyAlignment="1">
      <alignment horizontal="center"/>
    </xf>
    <xf numFmtId="9" fontId="4" fillId="0" borderId="4" xfId="0" applyNumberFormat="1" applyFont="1" applyFill="1" applyBorder="1" applyAlignment="1">
      <alignment horizontal="center"/>
    </xf>
    <xf numFmtId="44" fontId="1" fillId="2" borderId="2" xfId="0" applyNumberFormat="1" applyFont="1" applyFill="1" applyBorder="1" applyAlignment="1">
      <alignment horizontal="center"/>
    </xf>
    <xf numFmtId="44" fontId="1" fillId="0" borderId="6" xfId="0" applyNumberFormat="1" applyFont="1" applyFill="1" applyBorder="1" applyAlignment="1">
      <alignment horizontal="center"/>
    </xf>
    <xf numFmtId="44" fontId="1" fillId="0" borderId="5" xfId="0" applyNumberFormat="1" applyFont="1" applyFill="1" applyBorder="1" applyAlignment="1">
      <alignment horizontal="center"/>
    </xf>
    <xf numFmtId="44" fontId="1" fillId="0" borderId="8" xfId="0" applyNumberFormat="1" applyFont="1" applyFill="1" applyBorder="1" applyAlignment="1">
      <alignment horizontal="center"/>
    </xf>
    <xf numFmtId="44" fontId="1" fillId="0" borderId="2" xfId="0" applyNumberFormat="1" applyFont="1" applyFill="1" applyBorder="1" applyAlignment="1">
      <alignment horizontal="center"/>
    </xf>
    <xf numFmtId="44" fontId="1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 vertical="top" wrapText="1"/>
    </xf>
    <xf numFmtId="164" fontId="3" fillId="0" borderId="0" xfId="0" applyNumberFormat="1" applyFont="1" applyFill="1" applyBorder="1">
      <alignment vertical="top" wrapText="1"/>
    </xf>
    <xf numFmtId="44" fontId="4" fillId="0" borderId="32" xfId="0" applyNumberFormat="1" applyFont="1" applyFill="1" applyBorder="1" applyAlignment="1">
      <alignment horizontal="center"/>
    </xf>
    <xf numFmtId="9" fontId="4" fillId="0" borderId="33" xfId="0" applyNumberFormat="1" applyFont="1" applyFill="1" applyBorder="1" applyAlignment="1">
      <alignment horizontal="center"/>
    </xf>
    <xf numFmtId="44" fontId="4" fillId="2" borderId="34" xfId="0" applyNumberFormat="1" applyFont="1" applyFill="1" applyBorder="1" applyAlignment="1">
      <alignment horizontal="center"/>
    </xf>
    <xf numFmtId="44" fontId="4" fillId="0" borderId="35" xfId="0" applyNumberFormat="1" applyFont="1" applyFill="1" applyBorder="1" applyAlignment="1">
      <alignment horizontal="center"/>
    </xf>
    <xf numFmtId="44" fontId="4" fillId="0" borderId="36" xfId="0" applyNumberFormat="1" applyFont="1" applyFill="1" applyBorder="1" applyAlignment="1">
      <alignment horizontal="center"/>
    </xf>
    <xf numFmtId="1" fontId="4" fillId="0" borderId="36" xfId="0" applyNumberFormat="1" applyFont="1" applyFill="1" applyBorder="1" applyAlignment="1">
      <alignment horizontal="center"/>
    </xf>
    <xf numFmtId="164" fontId="1" fillId="0" borderId="37" xfId="0" applyNumberFormat="1" applyFont="1" applyFill="1" applyBorder="1" applyAlignment="1"/>
    <xf numFmtId="0" fontId="3" fillId="4" borderId="14" xfId="0" applyNumberFormat="1" applyFont="1" applyFill="1" applyBorder="1" applyAlignment="1">
      <alignment horizontal="left" vertical="top" wrapText="1" indent="1"/>
    </xf>
    <xf numFmtId="44" fontId="4" fillId="4" borderId="14" xfId="0" applyNumberFormat="1" applyFont="1" applyFill="1" applyBorder="1" applyAlignment="1">
      <alignment horizontal="center"/>
    </xf>
    <xf numFmtId="9" fontId="4" fillId="4" borderId="7" xfId="0" applyNumberFormat="1" applyFont="1" applyFill="1" applyBorder="1" applyAlignment="1">
      <alignment horizontal="center"/>
    </xf>
    <xf numFmtId="44" fontId="4" fillId="4" borderId="28" xfId="0" applyNumberFormat="1" applyFont="1" applyFill="1" applyBorder="1" applyAlignment="1">
      <alignment horizontal="center"/>
    </xf>
    <xf numFmtId="44" fontId="4" fillId="4" borderId="29" xfId="0" applyNumberFormat="1" applyFont="1" applyFill="1" applyBorder="1" applyAlignment="1">
      <alignment horizontal="center"/>
    </xf>
    <xf numFmtId="44" fontId="4" fillId="4" borderId="1" xfId="0" applyNumberFormat="1" applyFont="1" applyFill="1" applyBorder="1" applyAlignment="1">
      <alignment horizontal="center"/>
    </xf>
    <xf numFmtId="1" fontId="4" fillId="4" borderId="1" xfId="0" applyNumberFormat="1" applyFont="1" applyFill="1" applyBorder="1" applyAlignment="1">
      <alignment horizontal="center"/>
    </xf>
    <xf numFmtId="0" fontId="3" fillId="5" borderId="14" xfId="0" applyNumberFormat="1" applyFont="1" applyFill="1" applyBorder="1" applyAlignment="1">
      <alignment horizontal="left" vertical="top" wrapText="1" indent="1"/>
    </xf>
    <xf numFmtId="44" fontId="4" fillId="5" borderId="14" xfId="0" applyNumberFormat="1" applyFont="1" applyFill="1" applyBorder="1" applyAlignment="1">
      <alignment horizontal="center"/>
    </xf>
    <xf numFmtId="9" fontId="4" fillId="5" borderId="7" xfId="0" applyNumberFormat="1" applyFont="1" applyFill="1" applyBorder="1" applyAlignment="1">
      <alignment horizontal="center"/>
    </xf>
    <xf numFmtId="44" fontId="4" fillId="5" borderId="28" xfId="0" applyNumberFormat="1" applyFont="1" applyFill="1" applyBorder="1" applyAlignment="1">
      <alignment horizontal="center"/>
    </xf>
    <xf numFmtId="44" fontId="4" fillId="5" borderId="29" xfId="0" applyNumberFormat="1" applyFont="1" applyFill="1" applyBorder="1" applyAlignment="1">
      <alignment horizontal="center"/>
    </xf>
    <xf numFmtId="44" fontId="4" fillId="5" borderId="1" xfId="0" applyNumberFormat="1" applyFont="1" applyFill="1" applyBorder="1" applyAlignment="1">
      <alignment horizontal="center"/>
    </xf>
    <xf numFmtId="1" fontId="4" fillId="5" borderId="1" xfId="0" applyNumberFormat="1" applyFont="1" applyFill="1" applyBorder="1" applyAlignment="1">
      <alignment horizontal="center"/>
    </xf>
    <xf numFmtId="0" fontId="9" fillId="0" borderId="0" xfId="0" applyNumberFormat="1" applyFont="1">
      <alignment vertical="top" wrapText="1"/>
    </xf>
    <xf numFmtId="1" fontId="10" fillId="0" borderId="38" xfId="0" applyNumberFormat="1" applyFont="1" applyBorder="1" applyAlignment="1"/>
    <xf numFmtId="1" fontId="10" fillId="0" borderId="39" xfId="0" applyNumberFormat="1" applyFont="1" applyBorder="1" applyAlignment="1"/>
    <xf numFmtId="165" fontId="10" fillId="0" borderId="40" xfId="0" applyNumberFormat="1" applyFont="1" applyBorder="1" applyAlignment="1"/>
    <xf numFmtId="0" fontId="11" fillId="6" borderId="41" xfId="0" applyNumberFormat="1" applyFont="1" applyFill="1" applyBorder="1" applyAlignment="1"/>
    <xf numFmtId="0" fontId="11" fillId="6" borderId="42" xfId="0" applyNumberFormat="1" applyFont="1" applyFill="1" applyBorder="1" applyAlignment="1"/>
    <xf numFmtId="168" fontId="11" fillId="6" borderId="42" xfId="0" applyNumberFormat="1" applyFont="1" applyFill="1" applyBorder="1" applyAlignment="1"/>
    <xf numFmtId="0" fontId="11" fillId="6" borderId="43" xfId="0" applyNumberFormat="1" applyFont="1" applyFill="1" applyBorder="1" applyAlignment="1"/>
    <xf numFmtId="1" fontId="10" fillId="0" borderId="44" xfId="0" applyNumberFormat="1" applyFont="1" applyBorder="1" applyAlignment="1"/>
    <xf numFmtId="0" fontId="10" fillId="0" borderId="45" xfId="0" applyNumberFormat="1" applyFont="1" applyBorder="1" applyAlignment="1"/>
    <xf numFmtId="0" fontId="10" fillId="0" borderId="1" xfId="0" applyNumberFormat="1" applyFont="1" applyBorder="1" applyAlignment="1"/>
    <xf numFmtId="168" fontId="10" fillId="6" borderId="1" xfId="0" applyNumberFormat="1" applyFont="1" applyFill="1" applyBorder="1" applyAlignment="1"/>
    <xf numFmtId="168" fontId="10" fillId="0" borderId="1" xfId="0" applyNumberFormat="1" applyFont="1" applyBorder="1" applyAlignment="1"/>
    <xf numFmtId="1" fontId="10" fillId="0" borderId="1" xfId="0" applyNumberFormat="1" applyFont="1" applyBorder="1" applyAlignment="1"/>
    <xf numFmtId="16" fontId="10" fillId="0" borderId="46" xfId="0" applyNumberFormat="1" applyFont="1" applyBorder="1" applyAlignment="1"/>
    <xf numFmtId="1" fontId="11" fillId="0" borderId="1" xfId="0" applyNumberFormat="1" applyFont="1" applyBorder="1" applyAlignment="1"/>
    <xf numFmtId="0" fontId="10" fillId="0" borderId="1" xfId="0" applyFont="1" applyBorder="1" applyAlignment="1"/>
    <xf numFmtId="0" fontId="11" fillId="0" borderId="1" xfId="0" applyNumberFormat="1" applyFont="1" applyBorder="1" applyAlignment="1"/>
    <xf numFmtId="0" fontId="12" fillId="0" borderId="1" xfId="0" applyNumberFormat="1" applyFont="1" applyBorder="1" applyAlignment="1"/>
    <xf numFmtId="8" fontId="12" fillId="0" borderId="1" xfId="0" applyNumberFormat="1" applyFont="1" applyBorder="1" applyAlignment="1"/>
    <xf numFmtId="1" fontId="13" fillId="0" borderId="40" xfId="0" applyNumberFormat="1" applyFont="1" applyBorder="1" applyAlignment="1">
      <alignment horizontal="center" wrapText="1"/>
    </xf>
    <xf numFmtId="0" fontId="11" fillId="0" borderId="41" xfId="0" applyNumberFormat="1" applyFont="1" applyBorder="1" applyAlignment="1">
      <alignment horizontal="center"/>
    </xf>
    <xf numFmtId="0" fontId="11" fillId="0" borderId="42" xfId="0" applyNumberFormat="1" applyFont="1" applyBorder="1" applyAlignment="1">
      <alignment horizontal="center"/>
    </xf>
    <xf numFmtId="0" fontId="11" fillId="6" borderId="42" xfId="0" applyNumberFormat="1" applyFont="1" applyFill="1" applyBorder="1" applyAlignment="1">
      <alignment horizontal="center"/>
    </xf>
    <xf numFmtId="0" fontId="11" fillId="0" borderId="43" xfId="0" applyNumberFormat="1" applyFont="1" applyBorder="1" applyAlignment="1">
      <alignment horizontal="center"/>
    </xf>
    <xf numFmtId="0" fontId="3" fillId="0" borderId="21" xfId="0" applyFont="1" applyBorder="1" applyAlignment="1">
      <alignment vertical="top" wrapText="1"/>
    </xf>
    <xf numFmtId="0" fontId="4" fillId="0" borderId="38" xfId="0" applyNumberFormat="1" applyFont="1" applyBorder="1" applyAlignment="1"/>
    <xf numFmtId="167" fontId="1" fillId="0" borderId="21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164" fontId="1" fillId="0" borderId="21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 wrapText="1"/>
    </xf>
    <xf numFmtId="0" fontId="1" fillId="7" borderId="21" xfId="0" applyNumberFormat="1" applyFont="1" applyFill="1" applyBorder="1" applyAlignment="1">
      <alignment horizontal="center" vertical="center"/>
    </xf>
    <xf numFmtId="9" fontId="1" fillId="0" borderId="21" xfId="0" applyNumberFormat="1" applyFont="1" applyFill="1" applyBorder="1" applyAlignment="1">
      <alignment horizontal="center" vertical="center"/>
    </xf>
    <xf numFmtId="1" fontId="1" fillId="0" borderId="21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/>
    </xf>
    <xf numFmtId="168" fontId="4" fillId="0" borderId="21" xfId="0" applyNumberFormat="1" applyFont="1" applyFill="1" applyBorder="1" applyAlignment="1">
      <alignment horizontal="center" vertical="center"/>
    </xf>
    <xf numFmtId="168" fontId="4" fillId="7" borderId="21" xfId="0" applyNumberFormat="1" applyFont="1" applyFill="1" applyBorder="1" applyAlignment="1">
      <alignment horizontal="center" vertical="center"/>
    </xf>
    <xf numFmtId="44" fontId="4" fillId="0" borderId="21" xfId="0" applyNumberFormat="1" applyFont="1" applyFill="1" applyBorder="1" applyAlignment="1">
      <alignment horizontal="center" vertical="center"/>
    </xf>
    <xf numFmtId="168" fontId="4" fillId="0" borderId="21" xfId="0" applyNumberFormat="1" applyFont="1" applyFill="1" applyBorder="1" applyAlignment="1">
      <alignment horizontal="center" vertical="center" wrapText="1"/>
    </xf>
    <xf numFmtId="1" fontId="4" fillId="0" borderId="21" xfId="0" applyNumberFormat="1" applyFont="1" applyFill="1" applyBorder="1" applyAlignment="1">
      <alignment horizontal="center" vertical="center"/>
    </xf>
    <xf numFmtId="8" fontId="6" fillId="0" borderId="21" xfId="0" applyNumberFormat="1" applyFont="1" applyFill="1" applyBorder="1" applyAlignment="1">
      <alignment horizontal="center" vertical="center"/>
    </xf>
    <xf numFmtId="1" fontId="1" fillId="0" borderId="21" xfId="0" applyNumberFormat="1" applyFont="1" applyFill="1" applyBorder="1" applyAlignment="1">
      <alignment horizontal="center" vertical="center"/>
    </xf>
    <xf numFmtId="44" fontId="4" fillId="7" borderId="21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44" fontId="6" fillId="0" borderId="21" xfId="0" applyNumberFormat="1" applyFont="1" applyFill="1" applyBorder="1" applyAlignment="1">
      <alignment horizontal="center" vertical="center"/>
    </xf>
    <xf numFmtId="1" fontId="5" fillId="0" borderId="21" xfId="0" applyNumberFormat="1" applyFont="1" applyFill="1" applyBorder="1" applyAlignment="1">
      <alignment horizontal="center" vertical="center"/>
    </xf>
    <xf numFmtId="44" fontId="5" fillId="0" borderId="21" xfId="0" applyNumberFormat="1" applyFont="1" applyFill="1" applyBorder="1" applyAlignment="1">
      <alignment horizontal="center" vertical="center"/>
    </xf>
    <xf numFmtId="165" fontId="4" fillId="0" borderId="21" xfId="0" applyNumberFormat="1" applyFont="1" applyFill="1" applyBorder="1" applyAlignment="1">
      <alignment horizontal="center" vertical="center"/>
    </xf>
    <xf numFmtId="0" fontId="0" fillId="0" borderId="47" xfId="0" pivotButton="1" applyFont="1" applyBorder="1" applyAlignment="1">
      <alignment vertical="top" wrapText="1"/>
    </xf>
    <xf numFmtId="0" fontId="0" fillId="0" borderId="49" xfId="0" applyFont="1" applyBorder="1" applyAlignment="1">
      <alignment vertical="top" wrapText="1"/>
    </xf>
    <xf numFmtId="0" fontId="0" fillId="0" borderId="47" xfId="0" applyFont="1" applyBorder="1" applyAlignment="1">
      <alignment horizontal="left" vertical="top" wrapText="1"/>
    </xf>
    <xf numFmtId="0" fontId="0" fillId="0" borderId="48" xfId="0" applyFont="1" applyBorder="1" applyAlignment="1">
      <alignment horizontal="left" vertical="top" wrapText="1"/>
    </xf>
    <xf numFmtId="0" fontId="0" fillId="0" borderId="52" xfId="0" applyFont="1" applyBorder="1" applyAlignment="1">
      <alignment horizontal="left" vertical="top" wrapText="1"/>
    </xf>
    <xf numFmtId="1" fontId="4" fillId="0" borderId="21" xfId="0" applyNumberFormat="1" applyFont="1" applyFill="1" applyBorder="1" applyAlignment="1">
      <alignment horizontal="center" vertical="center" wrapText="1"/>
    </xf>
    <xf numFmtId="1" fontId="0" fillId="0" borderId="47" xfId="0" applyNumberFormat="1" applyFont="1" applyBorder="1" applyAlignment="1">
      <alignment horizontal="left" vertical="top" wrapText="1"/>
    </xf>
    <xf numFmtId="1" fontId="0" fillId="0" borderId="48" xfId="0" applyNumberFormat="1" applyFont="1" applyBorder="1" applyAlignment="1">
      <alignment horizontal="left" vertical="top" wrapText="1"/>
    </xf>
    <xf numFmtId="1" fontId="0" fillId="0" borderId="52" xfId="0" applyNumberFormat="1" applyFont="1" applyBorder="1" applyAlignment="1">
      <alignment horizontal="left" vertical="top" wrapText="1"/>
    </xf>
    <xf numFmtId="166" fontId="0" fillId="0" borderId="49" xfId="0" applyNumberFormat="1" applyFont="1" applyBorder="1" applyAlignment="1">
      <alignment vertical="top" wrapText="1"/>
    </xf>
    <xf numFmtId="166" fontId="0" fillId="0" borderId="50" xfId="0" applyNumberFormat="1" applyFont="1" applyBorder="1" applyAlignment="1">
      <alignment vertical="top" wrapText="1"/>
    </xf>
    <xf numFmtId="166" fontId="0" fillId="0" borderId="51" xfId="0" applyNumberFormat="1" applyFont="1" applyBorder="1" applyAlignment="1">
      <alignment vertical="top" wrapText="1"/>
    </xf>
    <xf numFmtId="0" fontId="0" fillId="8" borderId="0" xfId="0" applyFont="1" applyFill="1" applyAlignment="1">
      <alignment vertical="top" wrapText="1"/>
    </xf>
    <xf numFmtId="0" fontId="0" fillId="0" borderId="21" xfId="0" pivotButton="1" applyFont="1" applyBorder="1" applyAlignment="1">
      <alignment vertical="top" wrapText="1"/>
    </xf>
    <xf numFmtId="1" fontId="0" fillId="0" borderId="21" xfId="0" applyNumberFormat="1" applyFont="1" applyBorder="1" applyAlignment="1">
      <alignment horizontal="left" vertical="top" wrapText="1"/>
    </xf>
    <xf numFmtId="1" fontId="0" fillId="0" borderId="21" xfId="0" applyNumberFormat="1" applyFont="1" applyBorder="1" applyAlignment="1">
      <alignment vertical="top" wrapText="1"/>
    </xf>
    <xf numFmtId="166" fontId="0" fillId="0" borderId="21" xfId="0" applyNumberFormat="1" applyFont="1" applyBorder="1" applyAlignment="1">
      <alignment vertical="top" wrapText="1"/>
    </xf>
    <xf numFmtId="0" fontId="0" fillId="0" borderId="21" xfId="0" applyFont="1" applyBorder="1" applyAlignment="1">
      <alignment horizontal="left" vertical="top" wrapText="1"/>
    </xf>
    <xf numFmtId="0" fontId="0" fillId="8" borderId="21" xfId="0" applyFont="1" applyFill="1" applyBorder="1" applyAlignment="1">
      <alignment vertical="top" wrapText="1"/>
    </xf>
    <xf numFmtId="166" fontId="0" fillId="8" borderId="21" xfId="0" applyNumberFormat="1" applyFont="1" applyFill="1" applyBorder="1" applyAlignment="1">
      <alignment vertical="top" wrapText="1"/>
    </xf>
    <xf numFmtId="1" fontId="0" fillId="8" borderId="21" xfId="0" applyNumberFormat="1" applyFont="1" applyFill="1" applyBorder="1" applyAlignment="1">
      <alignment vertical="top" wrapText="1"/>
    </xf>
    <xf numFmtId="42" fontId="0" fillId="0" borderId="21" xfId="0" applyNumberFormat="1" applyFont="1" applyBorder="1" applyAlignment="1">
      <alignment vertical="top" wrapText="1"/>
    </xf>
    <xf numFmtId="166" fontId="0" fillId="0" borderId="0" xfId="0" applyNumberFormat="1" applyFont="1" applyFill="1" applyBorder="1" applyAlignment="1">
      <alignment vertical="top" wrapText="1"/>
    </xf>
    <xf numFmtId="42" fontId="0" fillId="0" borderId="0" xfId="0" applyNumberFormat="1" applyFont="1" applyAlignment="1">
      <alignment vertical="top" wrapText="1"/>
    </xf>
    <xf numFmtId="0" fontId="3" fillId="0" borderId="53" xfId="0" applyFont="1" applyBorder="1" applyAlignment="1">
      <alignment horizontal="center" vertical="top" wrapText="1"/>
    </xf>
    <xf numFmtId="0" fontId="0" fillId="0" borderId="55" xfId="0" applyFont="1" applyBorder="1" applyAlignment="1">
      <alignment horizontal="center" vertical="top" wrapText="1"/>
    </xf>
    <xf numFmtId="0" fontId="0" fillId="0" borderId="57" xfId="0" applyFont="1" applyBorder="1" applyAlignment="1">
      <alignment horizontal="center" vertical="top" wrapText="1"/>
    </xf>
    <xf numFmtId="0" fontId="3" fillId="10" borderId="54" xfId="0" applyFont="1" applyFill="1" applyBorder="1" applyAlignment="1">
      <alignment horizontal="center" vertical="top" wrapText="1"/>
    </xf>
    <xf numFmtId="0" fontId="3" fillId="10" borderId="58" xfId="0" applyFont="1" applyFill="1" applyBorder="1" applyAlignment="1">
      <alignment horizontal="center" vertical="top" wrapText="1"/>
    </xf>
    <xf numFmtId="1" fontId="0" fillId="0" borderId="56" xfId="0" applyNumberFormat="1" applyFont="1" applyBorder="1" applyAlignment="1">
      <alignment horizontal="center" vertical="top" wrapText="1"/>
    </xf>
    <xf numFmtId="166" fontId="0" fillId="0" borderId="59" xfId="0" applyNumberFormat="1" applyFont="1" applyBorder="1" applyAlignment="1">
      <alignment horizontal="center" vertical="top" wrapText="1"/>
    </xf>
    <xf numFmtId="166" fontId="0" fillId="0" borderId="60" xfId="0" applyNumberFormat="1" applyFont="1" applyBorder="1" applyAlignment="1">
      <alignment horizontal="center" vertical="top" wrapText="1"/>
    </xf>
    <xf numFmtId="0" fontId="0" fillId="10" borderId="0" xfId="0" applyFont="1" applyFill="1" applyAlignment="1">
      <alignment vertical="top" wrapText="1"/>
    </xf>
    <xf numFmtId="0" fontId="3" fillId="0" borderId="21" xfId="0" applyFont="1" applyBorder="1" applyAlignment="1">
      <alignment horizontal="left" vertical="top" wrapText="1"/>
    </xf>
    <xf numFmtId="0" fontId="16" fillId="0" borderId="0" xfId="0" applyFont="1" applyFill="1" applyAlignment="1">
      <alignment vertical="top" wrapText="1"/>
    </xf>
    <xf numFmtId="1" fontId="17" fillId="0" borderId="21" xfId="0" applyNumberFormat="1" applyFont="1" applyBorder="1" applyAlignment="1">
      <alignment horizontal="left" vertical="top" wrapText="1"/>
    </xf>
    <xf numFmtId="166" fontId="17" fillId="0" borderId="21" xfId="0" applyNumberFormat="1" applyFont="1" applyBorder="1" applyAlignment="1">
      <alignment vertical="top" wrapText="1"/>
    </xf>
    <xf numFmtId="0" fontId="17" fillId="0" borderId="0" xfId="0" applyFont="1" applyAlignment="1">
      <alignment vertical="top" wrapText="1"/>
    </xf>
    <xf numFmtId="0" fontId="18" fillId="0" borderId="0" xfId="0" applyFont="1" applyAlignment="1">
      <alignment vertical="top" wrapText="1"/>
    </xf>
    <xf numFmtId="0" fontId="17" fillId="0" borderId="0" xfId="0" applyFont="1" applyAlignment="1">
      <alignment horizontal="left" vertical="top" wrapText="1"/>
    </xf>
    <xf numFmtId="1" fontId="17" fillId="0" borderId="0" xfId="0" applyNumberFormat="1" applyFont="1" applyAlignment="1">
      <alignment horizontal="right" vertical="top" wrapText="1"/>
    </xf>
    <xf numFmtId="166" fontId="17" fillId="0" borderId="0" xfId="0" applyNumberFormat="1" applyFont="1" applyAlignment="1">
      <alignment horizontal="right" vertical="top" wrapText="1"/>
    </xf>
    <xf numFmtId="3" fontId="17" fillId="0" borderId="0" xfId="0" applyNumberFormat="1" applyFont="1" applyAlignment="1">
      <alignment horizontal="left" vertical="top" wrapText="1"/>
    </xf>
    <xf numFmtId="0" fontId="19" fillId="0" borderId="0" xfId="0" applyFont="1" applyAlignment="1">
      <alignment vertical="top" wrapText="1"/>
    </xf>
    <xf numFmtId="1" fontId="19" fillId="0" borderId="0" xfId="0" applyNumberFormat="1" applyFont="1" applyAlignment="1">
      <alignment vertical="top" wrapText="1"/>
    </xf>
    <xf numFmtId="166" fontId="19" fillId="0" borderId="0" xfId="0" applyNumberFormat="1" applyFont="1" applyAlignment="1">
      <alignment vertical="top" wrapText="1"/>
    </xf>
    <xf numFmtId="6" fontId="19" fillId="0" borderId="0" xfId="0" applyNumberFormat="1" applyFont="1" applyAlignment="1">
      <alignment vertical="top" wrapText="1"/>
    </xf>
    <xf numFmtId="0" fontId="20" fillId="0" borderId="0" xfId="0" applyFont="1" applyAlignment="1">
      <alignment vertical="top" wrapText="1"/>
    </xf>
    <xf numFmtId="42" fontId="20" fillId="0" borderId="0" xfId="0" applyNumberFormat="1" applyFont="1" applyAlignment="1">
      <alignment vertical="top" wrapText="1"/>
    </xf>
    <xf numFmtId="0" fontId="1" fillId="6" borderId="42" xfId="0" applyNumberFormat="1" applyFont="1" applyFill="1" applyBorder="1" applyAlignment="1">
      <alignment horizontal="center" wrapText="1"/>
    </xf>
    <xf numFmtId="168" fontId="10" fillId="11" borderId="1" xfId="0" applyNumberFormat="1" applyFont="1" applyFill="1" applyBorder="1" applyAlignment="1"/>
    <xf numFmtId="1" fontId="10" fillId="11" borderId="39" xfId="0" applyNumberFormat="1" applyFont="1" applyFill="1" applyBorder="1" applyAlignment="1"/>
    <xf numFmtId="9" fontId="4" fillId="0" borderId="21" xfId="0" applyNumberFormat="1" applyFont="1" applyFill="1" applyBorder="1" applyAlignment="1">
      <alignment horizontal="center" vertical="center" wrapText="1"/>
    </xf>
    <xf numFmtId="169" fontId="1" fillId="0" borderId="21" xfId="0" applyNumberFormat="1" applyFont="1" applyFill="1" applyBorder="1" applyAlignment="1">
      <alignment horizontal="left" vertical="center"/>
    </xf>
    <xf numFmtId="169" fontId="4" fillId="0" borderId="21" xfId="0" applyNumberFormat="1" applyFont="1" applyFill="1" applyBorder="1" applyAlignment="1">
      <alignment horizontal="left" vertical="center"/>
    </xf>
    <xf numFmtId="169" fontId="4" fillId="0" borderId="21" xfId="0" applyNumberFormat="1" applyFont="1" applyFill="1" applyBorder="1" applyAlignment="1">
      <alignment horizontal="left" vertical="center" wrapText="1"/>
    </xf>
    <xf numFmtId="9" fontId="0" fillId="0" borderId="0" xfId="0" applyNumberFormat="1" applyFont="1" applyAlignment="1">
      <alignment vertical="top" wrapText="1"/>
    </xf>
    <xf numFmtId="166" fontId="3" fillId="0" borderId="0" xfId="0" applyNumberFormat="1" applyFont="1" applyAlignment="1">
      <alignment vertical="top" wrapText="1"/>
    </xf>
    <xf numFmtId="166" fontId="21" fillId="0" borderId="0" xfId="0" applyNumberFormat="1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165" fontId="0" fillId="0" borderId="0" xfId="0" applyNumberFormat="1" applyFont="1" applyAlignment="1">
      <alignment vertical="top" wrapText="1"/>
    </xf>
    <xf numFmtId="3" fontId="0" fillId="0" borderId="0" xfId="0" applyNumberFormat="1" applyFont="1" applyAlignment="1">
      <alignment vertical="top" wrapText="1"/>
    </xf>
    <xf numFmtId="1" fontId="4" fillId="0" borderId="2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4" fontId="4" fillId="0" borderId="21" xfId="0" applyNumberFormat="1" applyFont="1" applyFill="1" applyBorder="1" applyAlignment="1">
      <alignment horizontal="center"/>
    </xf>
    <xf numFmtId="44" fontId="4" fillId="2" borderId="21" xfId="0" applyNumberFormat="1" applyFont="1" applyFill="1" applyBorder="1" applyAlignment="1">
      <alignment horizontal="center"/>
    </xf>
    <xf numFmtId="9" fontId="4" fillId="0" borderId="21" xfId="0" applyNumberFormat="1" applyFont="1" applyFill="1" applyBorder="1" applyAlignment="1">
      <alignment horizontal="center"/>
    </xf>
    <xf numFmtId="9" fontId="4" fillId="0" borderId="13" xfId="0" applyNumberFormat="1" applyFont="1" applyFill="1" applyBorder="1" applyAlignment="1">
      <alignment horizontal="center" vertical="center"/>
    </xf>
    <xf numFmtId="9" fontId="4" fillId="0" borderId="7" xfId="0" applyNumberFormat="1" applyFont="1" applyFill="1" applyBorder="1" applyAlignment="1">
      <alignment horizontal="center" vertical="center"/>
    </xf>
    <xf numFmtId="0" fontId="0" fillId="0" borderId="51" xfId="0" applyFont="1" applyBorder="1" applyAlignment="1">
      <alignment vertical="top" wrapText="1"/>
    </xf>
    <xf numFmtId="44" fontId="4" fillId="0" borderId="21" xfId="0" applyNumberFormat="1" applyFont="1" applyFill="1" applyBorder="1" applyAlignment="1">
      <alignment horizontal="center" vertical="center" wrapText="1"/>
    </xf>
    <xf numFmtId="0" fontId="3" fillId="11" borderId="21" xfId="0" applyFont="1" applyFill="1" applyBorder="1" applyAlignment="1">
      <alignment vertical="top" wrapText="1"/>
    </xf>
    <xf numFmtId="0" fontId="0" fillId="0" borderId="21" xfId="0" applyFont="1" applyBorder="1" applyAlignment="1">
      <alignment horizontal="right" vertical="top" wrapText="1"/>
    </xf>
    <xf numFmtId="6" fontId="0" fillId="0" borderId="21" xfId="0" applyNumberFormat="1" applyFont="1" applyBorder="1" applyAlignment="1">
      <alignment horizontal="right" vertical="top" wrapText="1"/>
    </xf>
    <xf numFmtId="166" fontId="0" fillId="0" borderId="0" xfId="0" applyNumberFormat="1" applyFont="1" applyAlignment="1">
      <alignment horizontal="right" vertical="top" wrapText="1"/>
    </xf>
    <xf numFmtId="44" fontId="4" fillId="0" borderId="10" xfId="0" applyNumberFormat="1" applyFont="1" applyFill="1" applyBorder="1" applyAlignment="1">
      <alignment horizontal="center" vertical="center"/>
    </xf>
    <xf numFmtId="44" fontId="4" fillId="0" borderId="11" xfId="0" applyNumberFormat="1" applyFont="1" applyFill="1" applyBorder="1" applyAlignment="1">
      <alignment horizontal="center" vertical="center"/>
    </xf>
    <xf numFmtId="44" fontId="4" fillId="7" borderId="12" xfId="0" applyNumberFormat="1" applyFont="1" applyFill="1" applyBorder="1" applyAlignment="1">
      <alignment horizontal="center" vertical="center"/>
    </xf>
    <xf numFmtId="9" fontId="6" fillId="0" borderId="21" xfId="0" applyNumberFormat="1" applyFont="1" applyFill="1" applyBorder="1" applyAlignment="1">
      <alignment horizontal="center" vertical="center"/>
    </xf>
    <xf numFmtId="44" fontId="4" fillId="0" borderId="14" xfId="0" applyNumberFormat="1" applyFont="1" applyFill="1" applyBorder="1" applyAlignment="1">
      <alignment horizontal="center" vertical="center"/>
    </xf>
    <xf numFmtId="0" fontId="14" fillId="5" borderId="0" xfId="0" applyFont="1" applyFill="1" applyAlignment="1">
      <alignment horizontal="center" vertical="top" wrapText="1"/>
    </xf>
    <xf numFmtId="0" fontId="14" fillId="9" borderId="0" xfId="0" applyFont="1" applyFill="1" applyAlignment="1">
      <alignment horizontal="center" vertical="top" wrapText="1"/>
    </xf>
  </cellXfs>
  <cellStyles count="1">
    <cellStyle name="Normal" xfId="0" builtinId="0"/>
  </cellStyles>
  <dxfs count="9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6" formatCode="&quot;$&quot;#,##0"/>
    </dxf>
    <dxf>
      <numFmt numFmtId="1" formatCode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 patternType="solid">
          <bgColor theme="6"/>
        </patternFill>
      </fill>
    </dxf>
    <dxf>
      <fill>
        <patternFill patternType="solid">
          <bgColor theme="6"/>
        </patternFill>
      </fill>
    </dxf>
    <dxf>
      <numFmt numFmtId="166" formatCode="&quot;$&quot;#,##0"/>
    </dxf>
    <dxf>
      <numFmt numFmtId="166" formatCode="&quot;$&quot;#,##0"/>
    </dxf>
    <dxf>
      <numFmt numFmtId="166" formatCode="&quot;$&quot;#,##0"/>
    </dxf>
    <dxf>
      <numFmt numFmtId="1" formatCode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6" formatCode="&quot;$&quot;#,##0"/>
    </dxf>
    <dxf>
      <numFmt numFmtId="1" formatCode="0"/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2" formatCode="_(&quot;$&quot;* #,##0_);_(&quot;$&quot;* \(#,##0\);_(&quot;$&quot;* &quot;-&quot;_);_(@_)"/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2" formatCode="_(&quot;$&quot;* #,##0_);_(&quot;$&quot;* \(#,##0\);_(&quot;$&quot;* &quot;-&quot;_);_(@_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6" formatCode="&quot;$&quot;#,##0"/>
    </dxf>
    <dxf>
      <numFmt numFmtId="1" formatCode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</dxf>
    <dxf>
      <numFmt numFmtId="32" formatCode="_(&quot;$&quot;* #,##0_);_(&quot;$&quot;* \(#,##0\);_(&quot;$&quot;* &quot;-&quot;_);_(@_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6" formatCode="&quot;$&quot;#,##0"/>
    </dxf>
    <dxf>
      <numFmt numFmtId="1" formatCode="0"/>
    </dxf>
    <dxf>
      <numFmt numFmtId="166" formatCode="&quot;$&quot;#,##0"/>
    </dxf>
    <dxf>
      <numFmt numFmtId="1" formatCode="0"/>
    </dxf>
    <dxf>
      <numFmt numFmtId="166" formatCode="&quot;$&quot;#,##0"/>
    </dxf>
    <dxf>
      <numFmt numFmtId="1" formatCode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</dxf>
    <dxf>
      <numFmt numFmtId="32" formatCode="_(&quot;$&quot;* #,##0_);_(&quot;$&quot;* \(#,##0\);_(&quot;$&quot;* &quot;-&quot;_);_(@_)"/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9CD90"/>
      <rgbColor rgb="FFAAAAAA"/>
      <rgbColor rgb="FFFF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69614"/>
      <color rgb="FFEDA3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Average/Day across 2015-2021:</a:t>
            </a:r>
            <a:r>
              <a:rPr lang="en-US" baseline="0"/>
              <a:t> </a:t>
            </a:r>
            <a:br>
              <a:rPr lang="en-US" baseline="0"/>
            </a:br>
            <a:r>
              <a:rPr lang="en-US" baseline="0"/>
              <a:t>v</a:t>
            </a:r>
            <a:r>
              <a:rPr lang="en-US"/>
              <a:t>isitors, vendors, and sales </a:t>
            </a:r>
          </a:p>
        </c:rich>
      </c:tx>
      <c:layout>
        <c:manualLayout>
          <c:xMode val="edge"/>
          <c:yMode val="edge"/>
          <c:x val="0.100347112860892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Graphs!$B$1</c:f>
              <c:strCache>
                <c:ptCount val="1"/>
                <c:pt idx="0">
                  <c:v>Visitors/day</c:v>
                </c:pt>
              </c:strCache>
            </c:strRef>
          </c:tx>
          <c:spPr>
            <a:solidFill>
              <a:srgbClr val="E69614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9.2592592592593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6BA-417D-92E8-F46890A05F7C}"/>
                </c:ext>
              </c:extLst>
            </c:dLbl>
            <c:dLbl>
              <c:idx val="1"/>
              <c:layout>
                <c:manualLayout>
                  <c:x val="0"/>
                  <c:y val="-8.29009745874788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6BA-417D-92E8-F46890A05F7C}"/>
                </c:ext>
              </c:extLst>
            </c:dLbl>
            <c:dLbl>
              <c:idx val="2"/>
              <c:layout>
                <c:manualLayout>
                  <c:x val="-2.7777777777778286E-3"/>
                  <c:y val="4.30663221360891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6BA-417D-92E8-F46890A05F7C}"/>
                </c:ext>
              </c:extLst>
            </c:dLbl>
            <c:dLbl>
              <c:idx val="3"/>
              <c:layout>
                <c:manualLayout>
                  <c:x val="-5.5555555555555558E-3"/>
                  <c:y val="4.62962962962954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6BA-417D-92E8-F46890A05F7C}"/>
                </c:ext>
              </c:extLst>
            </c:dLbl>
            <c:dLbl>
              <c:idx val="4"/>
              <c:layout>
                <c:manualLayout>
                  <c:x val="2.7777777777777779E-3"/>
                  <c:y val="4.30663221360887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6BA-417D-92E8-F46890A05F7C}"/>
                </c:ext>
              </c:extLst>
            </c:dLbl>
            <c:dLbl>
              <c:idx val="5"/>
              <c:layout>
                <c:manualLayout>
                  <c:x val="3.3333333333333229E-2"/>
                  <c:y val="8.61326442721787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6BA-417D-92E8-F46890A05F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E69614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Graphs!$A$2:$A$7</c:f>
              <c:strCache>
                <c:ptCount val="6"/>
                <c:pt idx="0">
                  <c:v>2015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strCache>
            </c:strRef>
          </c:cat>
          <c:val>
            <c:numRef>
              <c:f>Graphs!$B$2:$B$7</c:f>
              <c:numCache>
                <c:formatCode>0</c:formatCode>
                <c:ptCount val="6"/>
                <c:pt idx="0">
                  <c:v>243</c:v>
                </c:pt>
                <c:pt idx="1">
                  <c:v>215</c:v>
                </c:pt>
                <c:pt idx="2">
                  <c:v>291.05555555555554</c:v>
                </c:pt>
                <c:pt idx="3">
                  <c:v>244.38888888888889</c:v>
                </c:pt>
                <c:pt idx="4">
                  <c:v>167.26666666666668</c:v>
                </c:pt>
                <c:pt idx="5">
                  <c:v>264.6875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BA-417D-92E8-F46890A05F7C}"/>
            </c:ext>
          </c:extLst>
        </c:ser>
        <c:ser>
          <c:idx val="1"/>
          <c:order val="1"/>
          <c:tx>
            <c:strRef>
              <c:f>Graphs!$C$1</c:f>
              <c:strCache>
                <c:ptCount val="1"/>
                <c:pt idx="0">
                  <c:v>Vendors/day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Graphs!$A$2:$A$7</c:f>
              <c:strCache>
                <c:ptCount val="6"/>
                <c:pt idx="0">
                  <c:v>2015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strCache>
            </c:strRef>
          </c:cat>
          <c:val>
            <c:numRef>
              <c:f>Graphs!$C$2:$C$7</c:f>
              <c:numCache>
                <c:formatCode>0</c:formatCode>
                <c:ptCount val="6"/>
                <c:pt idx="0">
                  <c:v>12.176470588235293</c:v>
                </c:pt>
                <c:pt idx="1">
                  <c:v>12</c:v>
                </c:pt>
                <c:pt idx="2">
                  <c:v>13.388888888888889</c:v>
                </c:pt>
                <c:pt idx="3">
                  <c:v>12.111111111111111</c:v>
                </c:pt>
                <c:pt idx="4">
                  <c:v>7.2666666666666666</c:v>
                </c:pt>
                <c:pt idx="5">
                  <c:v>9.8125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BA-417D-92E8-F46890A05F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752818159"/>
        <c:axId val="752818991"/>
      </c:barChart>
      <c:lineChart>
        <c:grouping val="standard"/>
        <c:varyColors val="0"/>
        <c:ser>
          <c:idx val="2"/>
          <c:order val="2"/>
          <c:tx>
            <c:strRef>
              <c:f>Graphs!$D$1</c:f>
              <c:strCache>
                <c:ptCount val="1"/>
                <c:pt idx="0">
                  <c:v>Sales/day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7.4999999999999997E-2"/>
                  <c:y val="-0.31944444444444448"/>
                </c:manualLayout>
              </c:layout>
              <c:tx>
                <c:rich>
                  <a:bodyPr/>
                  <a:lstStyle/>
                  <a:p>
                    <a:fld id="{1FC92412-17D1-0549-A41E-BA4F6CC3CAB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E6BA-417D-92E8-F46890A05F7C}"/>
                </c:ext>
              </c:extLst>
            </c:dLbl>
            <c:dLbl>
              <c:idx val="1"/>
              <c:layout>
                <c:manualLayout>
                  <c:x val="-7.7777777777777807E-2"/>
                  <c:y val="-9.3453919035314428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 </a:t>
                    </a:r>
                    <a:fld id="{CC920ECA-FF9B-4848-92A5-92DE39F1FEAC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E6BA-417D-92E8-F46890A05F7C}"/>
                </c:ext>
              </c:extLst>
            </c:dLbl>
            <c:dLbl>
              <c:idx val="2"/>
              <c:layout>
                <c:manualLayout>
                  <c:x val="-7.7777777777777835E-2"/>
                  <c:y val="-0.1677970728465143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accent2">
                            <a:lumMod val="7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94E37AD-0711-4A21-A25A-0EA950032A21}" type="CELLRANGE">
                      <a:rPr lang="en-US" b="1">
                        <a:solidFill>
                          <a:schemeClr val="accent2">
                            <a:lumMod val="75000"/>
                          </a:schemeClr>
                        </a:solidFill>
                      </a:rPr>
                      <a:pPr>
                        <a:defRPr b="1">
                          <a:solidFill>
                            <a:schemeClr val="accent2">
                              <a:lumMod val="75000"/>
                            </a:schemeClr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accent2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312489063867016E-2"/>
                      <c:h val="9.4189997083697852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E6BA-417D-92E8-F46890A05F7C}"/>
                </c:ext>
              </c:extLst>
            </c:dLbl>
            <c:dLbl>
              <c:idx val="3"/>
              <c:layout>
                <c:manualLayout>
                  <c:x val="-7.2222222222222215E-2"/>
                  <c:y val="-7.7411544487171705E-2"/>
                </c:manualLayout>
              </c:layout>
              <c:tx>
                <c:rich>
                  <a:bodyPr/>
                  <a:lstStyle/>
                  <a:p>
                    <a:fld id="{F5C6AC58-5112-B34C-81F5-CF40B466390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E6BA-417D-92E8-F46890A05F7C}"/>
                </c:ext>
              </c:extLst>
            </c:dLbl>
            <c:dLbl>
              <c:idx val="4"/>
              <c:layout>
                <c:manualLayout>
                  <c:x val="-6.9444444444444448E-2"/>
                  <c:y val="-6.4168819982773545E-2"/>
                </c:manualLayout>
              </c:layout>
              <c:tx>
                <c:rich>
                  <a:bodyPr/>
                  <a:lstStyle/>
                  <a:p>
                    <a:fld id="{F15E67AF-35D7-CE46-B585-F3EE6517FF1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E6BA-417D-92E8-F46890A05F7C}"/>
                </c:ext>
              </c:extLst>
            </c:dLbl>
            <c:dLbl>
              <c:idx val="5"/>
              <c:layout>
                <c:manualLayout>
                  <c:x val="-8.3333333333333232E-2"/>
                  <c:y val="-3.8759689922480661E-2"/>
                </c:manualLayout>
              </c:layout>
              <c:tx>
                <c:rich>
                  <a:bodyPr/>
                  <a:lstStyle/>
                  <a:p>
                    <a:fld id="{6B5D78D5-5368-5241-B50D-DC76DB8975F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E6BA-417D-92E8-F46890A05F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Graphs!$A$2:$A$7</c:f>
              <c:strCache>
                <c:ptCount val="6"/>
                <c:pt idx="0">
                  <c:v>2015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strCache>
            </c:strRef>
          </c:cat>
          <c:val>
            <c:numRef>
              <c:f>Graphs!$D$2:$D$7</c:f>
              <c:numCache>
                <c:formatCode>"$"#,##0</c:formatCode>
                <c:ptCount val="6"/>
                <c:pt idx="0">
                  <c:v>1180.6694117647062</c:v>
                </c:pt>
                <c:pt idx="1">
                  <c:v>2276</c:v>
                </c:pt>
                <c:pt idx="2">
                  <c:v>2459.3016666666667</c:v>
                </c:pt>
                <c:pt idx="3">
                  <c:v>2475.3777777777777</c:v>
                </c:pt>
                <c:pt idx="4">
                  <c:v>2015.81</c:v>
                </c:pt>
                <c:pt idx="5">
                  <c:v>3293.5795062500001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Graphs!$D$2:$D$7</c15:f>
                <c15:dlblRangeCache>
                  <c:ptCount val="6"/>
                  <c:pt idx="0">
                    <c:v>$1,181</c:v>
                  </c:pt>
                  <c:pt idx="1">
                    <c:v>$2,276</c:v>
                  </c:pt>
                  <c:pt idx="2">
                    <c:v>$2,459</c:v>
                  </c:pt>
                  <c:pt idx="3">
                    <c:v>$2,475</c:v>
                  </c:pt>
                  <c:pt idx="4">
                    <c:v>$2,016</c:v>
                  </c:pt>
                  <c:pt idx="5">
                    <c:v>$3,294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2-E6BA-417D-92E8-F46890A05F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754991"/>
        <c:axId val="189030895"/>
      </c:lineChart>
      <c:catAx>
        <c:axId val="7528181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2818991"/>
        <c:crosses val="autoZero"/>
        <c:auto val="1"/>
        <c:lblAlgn val="ctr"/>
        <c:lblOffset val="100"/>
        <c:noMultiLvlLbl val="0"/>
      </c:catAx>
      <c:valAx>
        <c:axId val="752818991"/>
        <c:scaling>
          <c:orientation val="minMax"/>
          <c:max val="3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E69614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2818159"/>
        <c:crosses val="autoZero"/>
        <c:crossBetween val="between"/>
      </c:valAx>
      <c:valAx>
        <c:axId val="189030895"/>
        <c:scaling>
          <c:orientation val="minMax"/>
        </c:scaling>
        <c:delete val="0"/>
        <c:axPos val="r"/>
        <c:numFmt formatCode="&quot;$&quot;#,##0" sourceLinked="1"/>
        <c:majorTickMark val="out"/>
        <c:minorTickMark val="none"/>
        <c:tickLblPos val="nextTo"/>
        <c:spPr>
          <a:noFill/>
          <a:ln>
            <a:solidFill>
              <a:schemeClr val="accent2">
                <a:lumMod val="60000"/>
                <a:lumOff val="4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accent2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4754991"/>
        <c:crosses val="max"/>
        <c:crossBetween val="between"/>
      </c:valAx>
      <c:catAx>
        <c:axId val="26475499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9030895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</a:t>
            </a:r>
            <a:r>
              <a:rPr lang="en-US" baseline="0"/>
              <a:t> Sales per Visitor and Vendor </a:t>
            </a:r>
            <a:br>
              <a:rPr lang="en-US" baseline="0"/>
            </a:br>
            <a:r>
              <a:rPr lang="en-US" baseline="0"/>
              <a:t>across Years</a:t>
            </a:r>
            <a:endParaRPr lang="en-US"/>
          </a:p>
        </c:rich>
      </c:tx>
      <c:layout>
        <c:manualLayout>
          <c:xMode val="edge"/>
          <c:yMode val="edge"/>
          <c:x val="4.4930446194225725E-2"/>
          <c:y val="1.85185185185185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Graphs!$B$18</c:f>
              <c:strCache>
                <c:ptCount val="1"/>
                <c:pt idx="0">
                  <c:v>Average sales/visitor</c:v>
                </c:pt>
              </c:strCache>
            </c:strRef>
          </c:tx>
          <c:spPr>
            <a:solidFill>
              <a:srgbClr val="E69614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7.6452599388379203E-3"/>
                  <c:y val="1.28040973111395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C1D-4A11-BF03-36365839D91C}"/>
                </c:ext>
              </c:extLst>
            </c:dLbl>
            <c:dLbl>
              <c:idx val="1"/>
              <c:layout>
                <c:manualLayout>
                  <c:x val="0"/>
                  <c:y val="-6.8288518992744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C1D-4A11-BF03-36365839D91C}"/>
                </c:ext>
              </c:extLst>
            </c:dLbl>
            <c:dLbl>
              <c:idx val="2"/>
              <c:layout>
                <c:manualLayout>
                  <c:x val="-2.3190621814475495E-3"/>
                  <c:y val="-8.4854870093863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C1D-4A11-BF03-36365839D91C}"/>
                </c:ext>
              </c:extLst>
            </c:dLbl>
            <c:dLbl>
              <c:idx val="3"/>
              <c:layout>
                <c:manualLayout>
                  <c:x val="6.0142711518857373E-3"/>
                  <c:y val="-6.69133387775951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C1D-4A11-BF03-36365839D91C}"/>
                </c:ext>
              </c:extLst>
            </c:dLbl>
            <c:dLbl>
              <c:idx val="4"/>
              <c:layout>
                <c:manualLayout>
                  <c:x val="2.5484199796125466E-3"/>
                  <c:y val="-5.1216389244558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C1D-4A11-BF03-36365839D91C}"/>
                </c:ext>
              </c:extLst>
            </c:dLbl>
            <c:dLbl>
              <c:idx val="5"/>
              <c:layout>
                <c:manualLayout>
                  <c:x val="2.5484199796125466E-3"/>
                  <c:y val="-0.1024327784891165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C1D-4A11-BF03-36365839D9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E69614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Graphs!$A$19:$A$24</c:f>
              <c:numCache>
                <c:formatCode>0</c:formatCode>
                <c:ptCount val="6"/>
                <c:pt idx="0">
                  <c:v>2015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Graphs!$B$19:$B$24</c:f>
              <c:numCache>
                <c:formatCode>"$"#,##0</c:formatCode>
                <c:ptCount val="6"/>
                <c:pt idx="0">
                  <c:v>4.8587218591140173</c:v>
                </c:pt>
                <c:pt idx="1">
                  <c:v>10</c:v>
                </c:pt>
                <c:pt idx="2">
                  <c:v>8.4495953426226382</c:v>
                </c:pt>
                <c:pt idx="3">
                  <c:v>10.128847465333031</c:v>
                </c:pt>
                <c:pt idx="4">
                  <c:v>12.051474691111997</c:v>
                </c:pt>
                <c:pt idx="5">
                  <c:v>12.443275584415584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1D-4A11-BF03-36365839D9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919845375"/>
        <c:axId val="919844959"/>
      </c:barChart>
      <c:lineChart>
        <c:grouping val="standard"/>
        <c:varyColors val="0"/>
        <c:ser>
          <c:idx val="1"/>
          <c:order val="1"/>
          <c:tx>
            <c:strRef>
              <c:f>Graphs!$C$18</c:f>
              <c:strCache>
                <c:ptCount val="1"/>
                <c:pt idx="0">
                  <c:v>Average sales/vendor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0.05"/>
                  <c:y val="-0.1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C1D-4A11-BF03-36365839D91C}"/>
                </c:ext>
              </c:extLst>
            </c:dLbl>
            <c:dLbl>
              <c:idx val="1"/>
              <c:layout>
                <c:manualLayout>
                  <c:x val="-5.2777777777777778E-2"/>
                  <c:y val="-0.134911161072855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C1D-4A11-BF03-36365839D91C}"/>
                </c:ext>
              </c:extLst>
            </c:dLbl>
            <c:dLbl>
              <c:idx val="2"/>
              <c:layout>
                <c:manualLayout>
                  <c:x val="-4.5361875637105038E-2"/>
                  <c:y val="-0.1168254576372575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C1D-4A11-BF03-36365839D91C}"/>
                </c:ext>
              </c:extLst>
            </c:dLbl>
            <c:dLbl>
              <c:idx val="3"/>
              <c:layout>
                <c:manualLayout>
                  <c:x val="-4.4444444444444446E-2"/>
                  <c:y val="-0.119285457435618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C1D-4A11-BF03-36365839D91C}"/>
                </c:ext>
              </c:extLst>
            </c:dLbl>
            <c:dLbl>
              <c:idx val="4"/>
              <c:layout>
                <c:manualLayout>
                  <c:x val="-4.5871559633027525E-2"/>
                  <c:y val="-7.68245838668373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C1D-4A11-BF03-36365839D91C}"/>
                </c:ext>
              </c:extLst>
            </c:dLbl>
            <c:dLbl>
              <c:idx val="5"/>
              <c:layout>
                <c:manualLayout>
                  <c:x val="-4.0774719673802244E-2"/>
                  <c:y val="-2.9876227059325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C1D-4A11-BF03-36365839D9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Graphs!$A$19:$A$24</c:f>
              <c:numCache>
                <c:formatCode>0</c:formatCode>
                <c:ptCount val="6"/>
                <c:pt idx="0">
                  <c:v>2015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Graphs!$C$19:$C$24</c:f>
              <c:numCache>
                <c:formatCode>"$"#,##0</c:formatCode>
                <c:ptCount val="6"/>
                <c:pt idx="0">
                  <c:v>96.963188405797126</c:v>
                </c:pt>
                <c:pt idx="1">
                  <c:v>187</c:v>
                </c:pt>
                <c:pt idx="2">
                  <c:v>183.68228215767635</c:v>
                </c:pt>
                <c:pt idx="3">
                  <c:v>204.3889908256881</c:v>
                </c:pt>
                <c:pt idx="4">
                  <c:v>277.40504587155959</c:v>
                </c:pt>
                <c:pt idx="5">
                  <c:v>335.65141464968156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1D-4A11-BF03-36365839D9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9842047"/>
        <c:axId val="919844543"/>
      </c:lineChart>
      <c:catAx>
        <c:axId val="919845375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9844959"/>
        <c:crosses val="autoZero"/>
        <c:auto val="1"/>
        <c:lblAlgn val="ctr"/>
        <c:lblOffset val="100"/>
        <c:noMultiLvlLbl val="0"/>
      </c:catAx>
      <c:valAx>
        <c:axId val="9198449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E69614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9845375"/>
        <c:crosses val="autoZero"/>
        <c:crossBetween val="between"/>
      </c:valAx>
      <c:valAx>
        <c:axId val="919844543"/>
        <c:scaling>
          <c:orientation val="minMax"/>
        </c:scaling>
        <c:delete val="0"/>
        <c:axPos val="r"/>
        <c:numFmt formatCode="&quot;$&quot;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accent2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9842047"/>
        <c:crosses val="max"/>
        <c:crossBetween val="between"/>
      </c:valAx>
      <c:catAx>
        <c:axId val="919842047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91984454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Average Sales per Visitor and Vendor across Month</a:t>
            </a:r>
            <a:endParaRPr lang="en-US" sz="1400">
              <a:effectLst/>
            </a:endParaRPr>
          </a:p>
        </c:rich>
      </c:tx>
      <c:layout>
        <c:manualLayout>
          <c:xMode val="edge"/>
          <c:yMode val="edge"/>
          <c:x val="1.7152668416447941E-2"/>
          <c:y val="1.85185185185185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Graphs!$B$26</c:f>
              <c:strCache>
                <c:ptCount val="1"/>
                <c:pt idx="0">
                  <c:v>Average sales/visitor</c:v>
                </c:pt>
              </c:strCache>
            </c:strRef>
          </c:tx>
          <c:spPr>
            <a:ln w="28575" cap="rnd">
              <a:solidFill>
                <a:srgbClr val="E6961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solidFill>
                  <a:srgbClr val="E69614"/>
                </a:solidFill>
              </a:ln>
              <a:effectLst/>
            </c:spPr>
          </c:marker>
          <c:dPt>
            <c:idx val="1"/>
            <c:marker>
              <c:symbol val="circle"/>
              <c:size val="5"/>
              <c:spPr>
                <a:solidFill>
                  <a:schemeClr val="accent4">
                    <a:lumMod val="75000"/>
                  </a:schemeClr>
                </a:solidFill>
                <a:ln w="9525">
                  <a:solidFill>
                    <a:srgbClr val="E69614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E5A6-40CC-AD30-5260DF93A230}"/>
              </c:ext>
            </c:extLst>
          </c:dPt>
          <c:dLbls>
            <c:dLbl>
              <c:idx val="0"/>
              <c:layout>
                <c:manualLayout>
                  <c:x val="2.7777777777777523E-3"/>
                  <c:y val="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5A6-40CC-AD30-5260DF93A230}"/>
                </c:ext>
              </c:extLst>
            </c:dLbl>
            <c:dLbl>
              <c:idx val="1"/>
              <c:layout>
                <c:manualLayout>
                  <c:x val="-8.3333333333333332E-3"/>
                  <c:y val="4.629629629629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5A6-40CC-AD30-5260DF93A230}"/>
                </c:ext>
              </c:extLst>
            </c:dLbl>
            <c:dLbl>
              <c:idx val="2"/>
              <c:layout>
                <c:manualLayout>
                  <c:x val="-3.0555555555555659E-2"/>
                  <c:y val="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5A6-40CC-AD30-5260DF93A230}"/>
                </c:ext>
              </c:extLst>
            </c:dLbl>
            <c:dLbl>
              <c:idx val="3"/>
              <c:layout>
                <c:manualLayout>
                  <c:x val="5.5555555555555558E-3"/>
                  <c:y val="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5A6-40CC-AD30-5260DF93A2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E69614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Graphs!$A$27:$A$31</c15:sqref>
                  </c15:fullRef>
                </c:ext>
              </c:extLst>
              <c:f>Graphs!$A$27:$A$30</c:f>
              <c:strCache>
                <c:ptCount val="4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Graphs!$B$27:$B$31</c15:sqref>
                  </c15:fullRef>
                </c:ext>
              </c:extLst>
              <c:f>Graphs!$B$27:$B$30</c:f>
              <c:numCache>
                <c:formatCode>"$"#,##0</c:formatCode>
                <c:ptCount val="4"/>
                <c:pt idx="0">
                  <c:v>7.4390403433476404</c:v>
                </c:pt>
                <c:pt idx="1">
                  <c:v>9.0124468275245757</c:v>
                </c:pt>
                <c:pt idx="2">
                  <c:v>10.837074986580784</c:v>
                </c:pt>
                <c:pt idx="3">
                  <c:v>10.703359018264839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5A6-40CC-AD30-5260DF93A2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9845375"/>
        <c:axId val="919844959"/>
      </c:lineChart>
      <c:lineChart>
        <c:grouping val="standard"/>
        <c:varyColors val="0"/>
        <c:ser>
          <c:idx val="1"/>
          <c:order val="1"/>
          <c:tx>
            <c:strRef>
              <c:f>Graphs!$C$26</c:f>
              <c:strCache>
                <c:ptCount val="1"/>
                <c:pt idx="0">
                  <c:v>Average sales/vendor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0.05"/>
                  <c:y val="-0.1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5A6-40CC-AD30-5260DF93A230}"/>
                </c:ext>
              </c:extLst>
            </c:dLbl>
            <c:dLbl>
              <c:idx val="1"/>
              <c:layout>
                <c:manualLayout>
                  <c:x val="-5.2777777777777778E-2"/>
                  <c:y val="-0.1203703703703704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5A6-40CC-AD30-5260DF93A230}"/>
                </c:ext>
              </c:extLst>
            </c:dLbl>
            <c:dLbl>
              <c:idx val="2"/>
              <c:layout>
                <c:manualLayout>
                  <c:x val="-4.7222222222222221E-2"/>
                  <c:y val="-0.12962962962962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5A6-40CC-AD30-5260DF93A230}"/>
                </c:ext>
              </c:extLst>
            </c:dLbl>
            <c:dLbl>
              <c:idx val="3"/>
              <c:layout>
                <c:manualLayout>
                  <c:x val="0"/>
                  <c:y val="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5A6-40CC-AD30-5260DF93A2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Graphs!$A$19:$A$24</c15:sqref>
                  </c15:fullRef>
                </c:ext>
              </c:extLst>
              <c:f>(Graphs!$A$19:$A$22,Graphs!$A$24)</c:f>
              <c:numCache>
                <c:formatCode>0</c:formatCode>
                <c:ptCount val="5"/>
                <c:pt idx="0">
                  <c:v>2015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Graphs!$C$27:$C$31</c15:sqref>
                  </c15:fullRef>
                </c:ext>
              </c:extLst>
              <c:f>Graphs!$C$27:$C$30</c:f>
              <c:numCache>
                <c:formatCode>"$"#,##0</c:formatCode>
                <c:ptCount val="4"/>
                <c:pt idx="0">
                  <c:v>177.5918442622951</c:v>
                </c:pt>
                <c:pt idx="1">
                  <c:v>208.36628099173552</c:v>
                </c:pt>
                <c:pt idx="2">
                  <c:v>241.30841474103588</c:v>
                </c:pt>
                <c:pt idx="3">
                  <c:v>192.33112820512821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5A6-40CC-AD30-5260DF93A2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9842047"/>
        <c:axId val="919844543"/>
      </c:lineChart>
      <c:catAx>
        <c:axId val="9198453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9844959"/>
        <c:crosses val="autoZero"/>
        <c:auto val="1"/>
        <c:lblAlgn val="ctr"/>
        <c:lblOffset val="100"/>
        <c:noMultiLvlLbl val="0"/>
      </c:catAx>
      <c:valAx>
        <c:axId val="919844959"/>
        <c:scaling>
          <c:orientation val="minMax"/>
          <c:max val="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E69614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9845375"/>
        <c:crosses val="autoZero"/>
        <c:crossBetween val="between"/>
      </c:valAx>
      <c:valAx>
        <c:axId val="919844543"/>
        <c:scaling>
          <c:orientation val="minMax"/>
          <c:max val="300"/>
        </c:scaling>
        <c:delete val="0"/>
        <c:axPos val="r"/>
        <c:numFmt formatCode="&quot;$&quot;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accent2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9842047"/>
        <c:crosses val="max"/>
        <c:crossBetween val="between"/>
      </c:valAx>
      <c:catAx>
        <c:axId val="919842047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91984454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Graphs!$B$50</c:f>
              <c:strCache>
                <c:ptCount val="1"/>
                <c:pt idx="0">
                  <c:v>Sum of Visitors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2.6752273943285178E-3"/>
                  <c:y val="-2.56081946222791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D64-46AC-87EA-C402C8D9C948}"/>
                </c:ext>
              </c:extLst>
            </c:dLbl>
            <c:dLbl>
              <c:idx val="3"/>
              <c:layout>
                <c:manualLayout>
                  <c:x val="0"/>
                  <c:y val="-3.41442594963721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D64-46AC-87EA-C402C8D9C94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accen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Graphs!$A$51:$A$56</c:f>
              <c:strCache>
                <c:ptCount val="6"/>
                <c:pt idx="0">
                  <c:v>2015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strCache>
            </c:strRef>
          </c:cat>
          <c:val>
            <c:numRef>
              <c:f>Graphs!$B$51:$B$56</c:f>
              <c:numCache>
                <c:formatCode>General</c:formatCode>
                <c:ptCount val="6"/>
                <c:pt idx="0">
                  <c:v>4131</c:v>
                </c:pt>
                <c:pt idx="1">
                  <c:v>4084</c:v>
                </c:pt>
                <c:pt idx="2">
                  <c:v>5239</c:v>
                </c:pt>
                <c:pt idx="3">
                  <c:v>4399</c:v>
                </c:pt>
                <c:pt idx="4">
                  <c:v>2509</c:v>
                </c:pt>
                <c:pt idx="5">
                  <c:v>4235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13-496F-B6C0-65425D043B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929474575"/>
        <c:axId val="929475407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Graphs!$C$50</c15:sqref>
                        </c15:formulaRef>
                      </c:ext>
                    </c:extLst>
                    <c:strCache>
                      <c:ptCount val="1"/>
                      <c:pt idx="0">
                        <c:v>Sum of Vendors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Graphs!$A$51:$A$56</c15:sqref>
                        </c15:formulaRef>
                      </c:ext>
                    </c:extLst>
                    <c:strCache>
                      <c:ptCount val="6"/>
                      <c:pt idx="0">
                        <c:v>2015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Graphs!$C$51:$C$56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207</c:v>
                      </c:pt>
                      <c:pt idx="1">
                        <c:v>231</c:v>
                      </c:pt>
                      <c:pt idx="2">
                        <c:v>241</c:v>
                      </c:pt>
                      <c:pt idx="3">
                        <c:v>218</c:v>
                      </c:pt>
                      <c:pt idx="4">
                        <c:v>109</c:v>
                      </c:pt>
                      <c:pt idx="5">
                        <c:v>157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6113-496F-B6C0-65425D043B52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2"/>
          <c:order val="2"/>
          <c:tx>
            <c:strRef>
              <c:f>Graphs!$D$50</c:f>
              <c:strCache>
                <c:ptCount val="1"/>
                <c:pt idx="0">
                  <c:v>Sum of Total Sales</c:v>
                </c:pt>
              </c:strCache>
            </c:strRef>
          </c:tx>
          <c:spPr>
            <a:ln w="28575" cap="rnd">
              <a:solidFill>
                <a:srgbClr val="E6961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75000"/>
                </a:schemeClr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7.4906367041198504E-2"/>
                  <c:y val="-0.3585147247119078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113-496F-B6C0-65425D043B52}"/>
                </c:ext>
              </c:extLst>
            </c:dLbl>
            <c:dLbl>
              <c:idx val="1"/>
              <c:layout>
                <c:manualLayout>
                  <c:x val="-6.4205457463884424E-2"/>
                  <c:y val="-0.115236875800256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13-496F-B6C0-65425D043B52}"/>
                </c:ext>
              </c:extLst>
            </c:dLbl>
            <c:dLbl>
              <c:idx val="2"/>
              <c:layout>
                <c:manualLayout>
                  <c:x val="-6.9555912252541513E-2"/>
                  <c:y val="-0.2005975245411865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13-496F-B6C0-65425D043B52}"/>
                </c:ext>
              </c:extLst>
            </c:dLbl>
            <c:dLbl>
              <c:idx val="3"/>
              <c:layout>
                <c:manualLayout>
                  <c:x val="-6.6880684858213052E-2"/>
                  <c:y val="-0.1280409731113956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113-496F-B6C0-65425D043B52}"/>
                </c:ext>
              </c:extLst>
            </c:dLbl>
            <c:dLbl>
              <c:idx val="4"/>
              <c:layout>
                <c:manualLayout>
                  <c:x val="-8.2932049224184054E-2"/>
                  <c:y val="-0.1195049082373026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113-496F-B6C0-65425D043B52}"/>
                </c:ext>
              </c:extLst>
            </c:dLbl>
            <c:dLbl>
              <c:idx val="5"/>
              <c:layout>
                <c:manualLayout>
                  <c:x val="-6.4205457463884522E-2"/>
                  <c:y val="-6.40204865556978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D64-46AC-87EA-C402C8D9C94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E69614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Graphs!$A$51:$A$56</c:f>
              <c:strCache>
                <c:ptCount val="6"/>
                <c:pt idx="0">
                  <c:v>2015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strCache>
            </c:strRef>
          </c:cat>
          <c:val>
            <c:numRef>
              <c:f>Graphs!$D$51:$D$56</c:f>
              <c:numCache>
                <c:formatCode>_("$"* #,##0_);_("$"* \(#,##0\);_("$"* "-"_);_(@_)</c:formatCode>
                <c:ptCount val="6"/>
                <c:pt idx="0">
                  <c:v>20071.380000000005</c:v>
                </c:pt>
                <c:pt idx="1">
                  <c:v>43246</c:v>
                </c:pt>
                <c:pt idx="2">
                  <c:v>44267.43</c:v>
                </c:pt>
                <c:pt idx="3">
                  <c:v>44556.800000000003</c:v>
                </c:pt>
                <c:pt idx="4">
                  <c:v>30237.149999999998</c:v>
                </c:pt>
                <c:pt idx="5">
                  <c:v>52697.272100000002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113-496F-B6C0-65425D043B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667663"/>
        <c:axId val="924666831"/>
      </c:lineChart>
      <c:catAx>
        <c:axId val="9294745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9475407"/>
        <c:crosses val="autoZero"/>
        <c:auto val="1"/>
        <c:lblAlgn val="ctr"/>
        <c:lblOffset val="100"/>
        <c:noMultiLvlLbl val="0"/>
      </c:catAx>
      <c:valAx>
        <c:axId val="929475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accen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9474575"/>
        <c:crosses val="autoZero"/>
        <c:crossBetween val="between"/>
      </c:valAx>
      <c:valAx>
        <c:axId val="924666831"/>
        <c:scaling>
          <c:orientation val="minMax"/>
          <c:min val="1.0000000000000002E-2"/>
        </c:scaling>
        <c:delete val="0"/>
        <c:axPos val="r"/>
        <c:numFmt formatCode="_(&quot;$&quot;* #,##0_);_(&quot;$&quot;* \(#,##0\);_(&quot;$&quot;* &quot;-&quot;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rgbClr val="E69614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4667663"/>
        <c:crosses val="max"/>
        <c:crossBetween val="between"/>
      </c:valAx>
      <c:catAx>
        <c:axId val="92466766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2466683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601980</xdr:colOff>
      <xdr:row>0</xdr:row>
      <xdr:rowOff>133350</xdr:rowOff>
    </xdr:from>
    <xdr:to>
      <xdr:col>10</xdr:col>
      <xdr:colOff>601980</xdr:colOff>
      <xdr:row>14</xdr:row>
      <xdr:rowOff>201930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3479199-549F-4F2E-9A52-E7F25C9ECD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320040</xdr:colOff>
      <xdr:row>17</xdr:row>
      <xdr:rowOff>194310</xdr:rowOff>
    </xdr:from>
    <xdr:to>
      <xdr:col>9</xdr:col>
      <xdr:colOff>731520</xdr:colOff>
      <xdr:row>30</xdr:row>
      <xdr:rowOff>83820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59F7BC0-4BC7-4E1E-9368-F976AEE6110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266700</xdr:colOff>
      <xdr:row>31</xdr:row>
      <xdr:rowOff>167640</xdr:rowOff>
    </xdr:from>
    <xdr:to>
      <xdr:col>9</xdr:col>
      <xdr:colOff>266700</xdr:colOff>
      <xdr:row>45</xdr:row>
      <xdr:rowOff>30480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F0A6DCA-6F12-4BFA-90FD-33FE361FBC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601980</xdr:colOff>
      <xdr:row>49</xdr:row>
      <xdr:rowOff>95250</xdr:rowOff>
    </xdr:from>
    <xdr:to>
      <xdr:col>9</xdr:col>
      <xdr:colOff>777240</xdr:colOff>
      <xdr:row>61</xdr:row>
      <xdr:rowOff>190500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9B8355C-E986-47CF-9411-0CE4D26E66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eather Mohan-Gibbons" refreshedDate="44522.894234837964" createdVersion="6" refreshedVersion="6" minRefreshableVersion="3" recordCount="84" xr:uid="{C14D9646-33E2-4710-95AE-DD1810614B48}">
  <cacheSource type="worksheet">
    <worksheetSource ref="A1:AA84" sheet="Combined"/>
  </cacheSource>
  <cacheFields count="29">
    <cacheField name="Date" numFmtId="169">
      <sharedItems containsSemiMixedTypes="0" containsNonDate="0" containsDate="1" containsString="0" minDate="2015-06-06T00:00:00" maxDate="2021-09-26T00:00:00" count="84">
        <d v="2015-06-06T00:00:00"/>
        <d v="2015-06-13T00:00:00"/>
        <d v="2015-06-20T00:00:00"/>
        <d v="2015-06-27T00:00:00"/>
        <d v="2015-07-04T00:00:00"/>
        <d v="2015-07-11T00:00:00"/>
        <d v="2015-07-18T00:00:00"/>
        <d v="2015-07-25T00:00:00"/>
        <d v="2015-08-01T00:00:00"/>
        <d v="2015-08-08T00:00:00"/>
        <d v="2015-08-15T00:00:00"/>
        <d v="2015-08-22T00:00:00"/>
        <d v="2015-08-29T00:00:00"/>
        <d v="2015-09-05T00:00:00"/>
        <d v="2015-09-12T00:00:00"/>
        <d v="2015-09-19T00:00:00"/>
        <d v="2015-09-26T00:00:00"/>
        <d v="2018-06-02T00:00:00"/>
        <d v="2018-06-09T00:00:00"/>
        <d v="2018-06-16T00:00:00"/>
        <d v="2018-06-23T00:00:00"/>
        <d v="2018-06-30T00:00:00"/>
        <d v="2018-07-07T00:00:00"/>
        <d v="2018-07-14T00:00:00"/>
        <d v="2018-07-21T00:00:00"/>
        <d v="2018-07-28T00:00:00"/>
        <d v="2018-08-04T00:00:00"/>
        <d v="2018-08-11T00:00:00"/>
        <d v="2018-08-18T00:00:00"/>
        <d v="2018-08-25T00:00:00"/>
        <d v="2018-09-01T00:00:00"/>
        <d v="2018-09-08T00:00:00"/>
        <d v="2018-09-15T00:00:00"/>
        <d v="2018-09-22T00:00:00"/>
        <d v="2018-09-29T00:00:00"/>
        <d v="2019-06-01T00:00:00"/>
        <d v="2019-06-08T00:00:00"/>
        <d v="2019-06-15T00:00:00"/>
        <d v="2019-06-22T00:00:00"/>
        <d v="2019-06-29T00:00:00"/>
        <d v="2019-07-06T00:00:00"/>
        <d v="2019-07-13T00:00:00"/>
        <d v="2019-07-20T00:00:00"/>
        <d v="2019-07-27T00:00:00"/>
        <d v="2019-08-03T00:00:00"/>
        <d v="2019-08-10T00:00:00"/>
        <d v="2019-08-17T00:00:00"/>
        <d v="2019-08-24T00:00:00"/>
        <d v="2019-08-31T00:00:00"/>
        <d v="2019-09-07T00:00:00"/>
        <d v="2019-09-14T00:00:00"/>
        <d v="2019-09-21T00:00:00"/>
        <d v="2019-09-28T00:00:00"/>
        <d v="2020-06-20T00:00:00"/>
        <d v="2020-06-27T00:00:00"/>
        <d v="2020-07-04T00:00:00"/>
        <d v="2020-07-11T00:00:00"/>
        <d v="2020-07-18T00:00:00"/>
        <d v="2020-07-25T00:00:00"/>
        <d v="2020-08-01T00:00:00"/>
        <d v="2020-08-08T00:00:00"/>
        <d v="2020-08-15T00:00:00"/>
        <d v="2020-08-22T00:00:00"/>
        <d v="2020-08-29T00:00:00"/>
        <d v="2020-09-05T00:00:00"/>
        <d v="2020-09-19T00:00:00"/>
        <d v="2020-09-26T00:00:00"/>
        <d v="2021-06-05T00:00:00"/>
        <d v="2021-06-12T00:00:00"/>
        <d v="2021-06-19T00:00:00"/>
        <d v="2021-06-26T00:00:00"/>
        <d v="2021-07-03T00:00:00"/>
        <d v="2021-07-10T00:00:00"/>
        <d v="2021-07-17T00:00:00"/>
        <d v="2021-07-24T00:00:00"/>
        <d v="2021-07-31T00:00:00"/>
        <d v="2021-08-07T00:00:00"/>
        <d v="2021-08-14T00:00:00"/>
        <d v="2021-08-21T00:00:00"/>
        <d v="2021-08-28T00:00:00"/>
        <d v="2021-09-04T00:00:00"/>
        <d v="2021-09-11T00:00:00"/>
        <d v="2021-09-18T00:00:00"/>
        <d v="2021-09-25T00:00:00"/>
      </sharedItems>
      <fieldGroup par="28" base="0">
        <rangePr groupBy="months" startDate="2015-06-06T00:00:00" endDate="2021-09-26T00:00:00"/>
        <groupItems count="14">
          <s v="&lt;6/6/2015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9/26/2021"/>
        </groupItems>
      </fieldGroup>
    </cacheField>
    <cacheField name="Year" numFmtId="1">
      <sharedItems containsSemiMixedTypes="0" containsString="0" containsNumber="1" containsInteger="1" minValue="2015" maxValue="2021" count="5">
        <n v="2015"/>
        <n v="2018"/>
        <n v="2019"/>
        <n v="2020"/>
        <n v="2021"/>
      </sharedItems>
    </cacheField>
    <cacheField name="Month" numFmtId="0">
      <sharedItems count="5">
        <s v="June"/>
        <s v="July"/>
        <s v="Aug"/>
        <s v="Sep"/>
        <s v="August" u="1"/>
      </sharedItems>
    </cacheField>
    <cacheField name="Visitors" numFmtId="0">
      <sharedItems containsString="0" containsBlank="1" containsNumber="1" containsInteger="1" minValue="42" maxValue="702"/>
    </cacheField>
    <cacheField name="Vendors" numFmtId="0">
      <sharedItems containsString="0" containsBlank="1" containsNumber="1" containsInteger="1" minValue="5" maxValue="20"/>
    </cacheField>
    <cacheField name="Merch" numFmtId="0">
      <sharedItems containsString="0" containsBlank="1" containsNumber="1" containsInteger="1" minValue="0" maxValue="200"/>
    </cacheField>
    <cacheField name="# Reports" numFmtId="0">
      <sharedItems containsString="0" containsBlank="1" containsNumber="1" containsInteger="1" minValue="6" maxValue="20"/>
    </cacheField>
    <cacheField name="Service" numFmtId="0">
      <sharedItems containsString="0" containsBlank="1" containsNumber="1" minValue="0" maxValue="143"/>
    </cacheField>
    <cacheField name="Food Sales" numFmtId="0">
      <sharedItems containsString="0" containsBlank="1" containsNumber="1" minValue="278.5" maxValue="653.52"/>
    </cacheField>
    <cacheField name="Prepared" numFmtId="0">
      <sharedItems containsString="0" containsBlank="1" containsNumber="1" minValue="0" maxValue="1700"/>
    </cacheField>
    <cacheField name="Produce &amp; Baked Goods" numFmtId="0">
      <sharedItems containsString="0" containsBlank="1" containsNumber="1" minValue="0" maxValue="5230.3500000000004"/>
    </cacheField>
    <cacheField name="SNAP/WIC/FDNP" numFmtId="0">
      <sharedItems containsString="0" containsBlank="1" containsNumber="1" containsInteger="1" minValue="0" maxValue="59"/>
    </cacheField>
    <cacheField name="SNAP" numFmtId="0">
      <sharedItems containsString="0" containsBlank="1" containsNumber="1" containsInteger="1" minValue="0" maxValue="107"/>
    </cacheField>
    <cacheField name="FDNP" numFmtId="0">
      <sharedItems containsString="0" containsBlank="1" containsNumber="1" minValue="0" maxValue="185"/>
    </cacheField>
    <cacheField name="POP" numFmtId="0">
      <sharedItems containsString="0" containsBlank="1" containsNumber="1" containsInteger="1" minValue="0" maxValue="70"/>
    </cacheField>
    <cacheField name="Non-Food" numFmtId="0">
      <sharedItems containsString="0" containsBlank="1" containsNumber="1" minValue="0" maxValue="2051.5"/>
    </cacheField>
    <cacheField name="Other Sales" numFmtId="0">
      <sharedItems containsString="0" containsBlank="1" containsNumber="1" minValue="191" maxValue="1613"/>
    </cacheField>
    <cacheField name="Total Sales" numFmtId="0">
      <sharedItems containsSemiMixedTypes="0" containsString="0" containsNumber="1" minValue="0" maxValue="7618.04"/>
    </cacheField>
    <cacheField name="% Food" numFmtId="9">
      <sharedItems containsMixedTypes="1" containsNumber="1" minValue="0.2" maxValue="0.94499766329942125"/>
    </cacheField>
    <cacheField name="% S/F" numFmtId="9">
      <sharedItems containsMixedTypes="1" containsNumber="1" minValue="0" maxValue="8.6663158872140891E-2"/>
    </cacheField>
    <cacheField name="% Other" numFmtId="9">
      <sharedItems containsMixedTypes="1" containsNumber="1" minValue="5.5002336700578788E-2" maxValue="0.8"/>
    </cacheField>
    <cacheField name="HUB" numFmtId="0">
      <sharedItems containsString="0" containsBlank="1" containsNumber="1" minValue="9" maxValue="404.5"/>
    </cacheField>
    <cacheField name="HUB SHOPPERS" numFmtId="0">
      <sharedItems containsString="0" containsBlank="1" containsNumber="1" containsInteger="1" minValue="1" maxValue="9"/>
    </cacheField>
    <cacheField name="DUFB" numFmtId="0">
      <sharedItems containsString="0" containsBlank="1" containsNumber="1" containsInteger="1" minValue="0" maxValue="10"/>
    </cacheField>
    <cacheField name="Average sales per visitor" numFmtId="44">
      <sharedItems containsMixedTypes="1" containsNumber="1" minValue="2.883190883190883" maxValue="20.577956989247312"/>
    </cacheField>
    <cacheField name="Average sales per vendor" numFmtId="168">
      <sharedItems containsMixedTypes="1" containsNumber="1" minValue="61.125" maxValue="586.00307692307695"/>
    </cacheField>
    <cacheField name="Comments" numFmtId="0">
      <sharedItems containsBlank="1"/>
    </cacheField>
    <cacheField name="Quarters" numFmtId="0" databaseField="0">
      <fieldGroup base="0">
        <rangePr groupBy="quarters" startDate="2015-06-06T00:00:00" endDate="2021-09-26T00:00:00"/>
        <groupItems count="6">
          <s v="&lt;6/6/2015"/>
          <s v="Qtr1"/>
          <s v="Qtr2"/>
          <s v="Qtr3"/>
          <s v="Qtr4"/>
          <s v="&gt;9/26/2021"/>
        </groupItems>
      </fieldGroup>
    </cacheField>
    <cacheField name="Years" numFmtId="0" databaseField="0">
      <fieldGroup base="0">
        <rangePr groupBy="years" startDate="2015-06-06T00:00:00" endDate="2021-09-26T00:00:00"/>
        <groupItems count="9">
          <s v="&lt;6/6/2015"/>
          <s v="2015"/>
          <s v="2016"/>
          <s v="2017"/>
          <s v="2018"/>
          <s v="2019"/>
          <s v="2020"/>
          <s v="2021"/>
          <s v="&gt;9/26/2021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4">
  <r>
    <x v="0"/>
    <x v="0"/>
    <x v="0"/>
    <n v="328"/>
    <n v="18"/>
    <m/>
    <n v="16"/>
    <m/>
    <n v="409.55"/>
    <m/>
    <m/>
    <m/>
    <m/>
    <m/>
    <m/>
    <m/>
    <n v="1320"/>
    <n v="1729.55"/>
    <n v="0.24"/>
    <n v="0"/>
    <n v="0.76"/>
    <m/>
    <m/>
    <m/>
    <n v="5.2730182926829263"/>
    <n v="96.086111111111109"/>
    <m/>
  </r>
  <r>
    <x v="1"/>
    <x v="0"/>
    <x v="0"/>
    <n v="317"/>
    <n v="20"/>
    <m/>
    <n v="16"/>
    <m/>
    <n v="558.9"/>
    <m/>
    <m/>
    <n v="2"/>
    <m/>
    <m/>
    <m/>
    <m/>
    <n v="901.5"/>
    <n v="1474.4"/>
    <n v="0.38"/>
    <n v="0.01"/>
    <n v="0.61"/>
    <m/>
    <m/>
    <m/>
    <n v="4.6511041009463723"/>
    <n v="73.72"/>
    <m/>
  </r>
  <r>
    <x v="2"/>
    <x v="0"/>
    <x v="0"/>
    <n v="217"/>
    <n v="13"/>
    <m/>
    <n v="13"/>
    <m/>
    <n v="365.15"/>
    <m/>
    <m/>
    <n v="8"/>
    <m/>
    <m/>
    <m/>
    <m/>
    <n v="934"/>
    <n v="1299.1500000000001"/>
    <n v="0.28000000000000003"/>
    <n v="8.9999999999999993E-3"/>
    <n v="0.72"/>
    <m/>
    <m/>
    <m/>
    <n v="5.9868663594470046"/>
    <n v="99.934615384615398"/>
    <m/>
  </r>
  <r>
    <x v="3"/>
    <x v="0"/>
    <x v="0"/>
    <n v="496"/>
    <n v="16"/>
    <m/>
    <n v="16"/>
    <m/>
    <n v="341.05"/>
    <m/>
    <m/>
    <n v="5"/>
    <m/>
    <m/>
    <m/>
    <m/>
    <n v="1118.75"/>
    <n v="1459.8"/>
    <n v="0.23"/>
    <n v="3.0000000000000001E-3"/>
    <n v="0.77"/>
    <m/>
    <m/>
    <m/>
    <n v="2.9431451612903223"/>
    <n v="91.237499999999997"/>
    <m/>
  </r>
  <r>
    <x v="4"/>
    <x v="0"/>
    <x v="1"/>
    <n v="702"/>
    <n v="14"/>
    <m/>
    <n v="13"/>
    <m/>
    <n v="411"/>
    <m/>
    <m/>
    <n v="0"/>
    <m/>
    <m/>
    <m/>
    <m/>
    <n v="1613"/>
    <n v="2024"/>
    <n v="0.2"/>
    <n v="0"/>
    <n v="0.8"/>
    <m/>
    <m/>
    <m/>
    <n v="2.883190883190883"/>
    <n v="144.57142857142858"/>
    <m/>
  </r>
  <r>
    <x v="5"/>
    <x v="0"/>
    <x v="1"/>
    <n v="133"/>
    <n v="12"/>
    <m/>
    <n v="12"/>
    <m/>
    <n v="365"/>
    <m/>
    <m/>
    <n v="10"/>
    <m/>
    <m/>
    <m/>
    <m/>
    <n v="705.25"/>
    <n v="1070.25"/>
    <n v="0.34"/>
    <n v="8.9999999999999993E-3"/>
    <n v="0.66"/>
    <m/>
    <m/>
    <m/>
    <n v="8.0469924812030076"/>
    <n v="89.1875"/>
    <s v="Ranier days"/>
  </r>
  <r>
    <x v="6"/>
    <x v="0"/>
    <x v="1"/>
    <n v="152"/>
    <n v="10"/>
    <m/>
    <n v="10"/>
    <m/>
    <n v="343.25"/>
    <m/>
    <m/>
    <m/>
    <m/>
    <m/>
    <m/>
    <m/>
    <n v="705.75"/>
    <n v="1049"/>
    <n v="0.33"/>
    <n v="0"/>
    <n v="0.67"/>
    <m/>
    <m/>
    <m/>
    <n v="6.9013157894736841"/>
    <n v="104.9"/>
    <m/>
  </r>
  <r>
    <x v="7"/>
    <x v="0"/>
    <x v="1"/>
    <n v="198"/>
    <n v="10"/>
    <m/>
    <n v="9"/>
    <m/>
    <n v="392.88"/>
    <m/>
    <m/>
    <m/>
    <m/>
    <m/>
    <m/>
    <m/>
    <n v="867"/>
    <n v="1259.8800000000001"/>
    <n v="0.31"/>
    <n v="0"/>
    <n v="0.69"/>
    <m/>
    <m/>
    <m/>
    <n v="6.3630303030303033"/>
    <n v="125.98800000000001"/>
    <m/>
  </r>
  <r>
    <x v="8"/>
    <x v="0"/>
    <x v="2"/>
    <n v="298"/>
    <n v="9"/>
    <m/>
    <n v="9"/>
    <m/>
    <n v="653.52"/>
    <m/>
    <m/>
    <m/>
    <m/>
    <m/>
    <m/>
    <m/>
    <n v="544.5"/>
    <n v="1198.02"/>
    <n v="0.55000000000000004"/>
    <n v="0"/>
    <n v="0.45"/>
    <m/>
    <m/>
    <m/>
    <n v="4.0202013422818794"/>
    <n v="133.11333333333334"/>
    <m/>
  </r>
  <r>
    <x v="9"/>
    <x v="0"/>
    <x v="2"/>
    <n v="216"/>
    <n v="12"/>
    <m/>
    <n v="10"/>
    <m/>
    <n v="593.70000000000005"/>
    <m/>
    <m/>
    <n v="59"/>
    <m/>
    <m/>
    <m/>
    <m/>
    <n v="519.5"/>
    <n v="1113.2"/>
    <n v="0.53"/>
    <n v="0.05"/>
    <n v="0.42"/>
    <m/>
    <m/>
    <m/>
    <n v="5.1537037037037043"/>
    <n v="92.766666666666666"/>
    <m/>
  </r>
  <r>
    <x v="10"/>
    <x v="0"/>
    <x v="2"/>
    <n v="177"/>
    <n v="11"/>
    <m/>
    <n v="11"/>
    <m/>
    <n v="499.6"/>
    <m/>
    <m/>
    <n v="20"/>
    <m/>
    <m/>
    <m/>
    <m/>
    <n v="469"/>
    <n v="968.6"/>
    <n v="0.52"/>
    <n v="0.02"/>
    <n v="0.46"/>
    <m/>
    <m/>
    <m/>
    <n v="5.4723163841807914"/>
    <n v="88.054545454545462"/>
    <s v="Col.Co.Fair"/>
  </r>
  <r>
    <x v="11"/>
    <x v="0"/>
    <x v="2"/>
    <n v="193"/>
    <n v="13"/>
    <m/>
    <n v="9"/>
    <m/>
    <n v="485.5"/>
    <m/>
    <m/>
    <n v="41"/>
    <m/>
    <m/>
    <m/>
    <m/>
    <n v="561.5"/>
    <n v="1047"/>
    <n v="0.46"/>
    <n v="0.04"/>
    <n v="0.5"/>
    <m/>
    <m/>
    <m/>
    <n v="5.4248704663212433"/>
    <n v="80.538461538461533"/>
    <m/>
  </r>
  <r>
    <x v="12"/>
    <x v="0"/>
    <x v="2"/>
    <n v="42"/>
    <n v="8"/>
    <m/>
    <n v="6"/>
    <m/>
    <n v="298"/>
    <m/>
    <m/>
    <n v="12"/>
    <m/>
    <m/>
    <m/>
    <m/>
    <n v="191"/>
    <n v="489"/>
    <n v="0.61"/>
    <n v="0.02"/>
    <n v="0.27"/>
    <m/>
    <m/>
    <m/>
    <n v="11.642857142857142"/>
    <n v="61.125"/>
    <m/>
  </r>
  <r>
    <x v="13"/>
    <x v="0"/>
    <x v="3"/>
    <n v="169"/>
    <n v="10"/>
    <m/>
    <n v="10"/>
    <m/>
    <n v="459.5"/>
    <m/>
    <m/>
    <n v="4"/>
    <m/>
    <m/>
    <m/>
    <m/>
    <n v="665"/>
    <n v="1124.5"/>
    <n v="0.41"/>
    <n v="3.0000000000000001E-3"/>
    <n v="0.59"/>
    <m/>
    <m/>
    <m/>
    <n v="6.6538461538461542"/>
    <n v="112.45"/>
    <m/>
  </r>
  <r>
    <x v="14"/>
    <x v="0"/>
    <x v="3"/>
    <n v="190"/>
    <n v="10"/>
    <m/>
    <n v="10"/>
    <m/>
    <n v="607.85"/>
    <m/>
    <m/>
    <n v="51"/>
    <m/>
    <m/>
    <m/>
    <m/>
    <n v="409"/>
    <n v="1016.85"/>
    <n v="0.6"/>
    <n v="0.05"/>
    <n v="0.35"/>
    <m/>
    <m/>
    <m/>
    <n v="5.3518421052631577"/>
    <n v="101.685"/>
    <m/>
  </r>
  <r>
    <x v="15"/>
    <x v="0"/>
    <x v="3"/>
    <n v="166"/>
    <n v="10"/>
    <m/>
    <n v="8"/>
    <m/>
    <n v="473.68"/>
    <m/>
    <m/>
    <n v="24"/>
    <m/>
    <m/>
    <m/>
    <m/>
    <n v="333"/>
    <n v="806.68"/>
    <n v="0.59"/>
    <n v="0.03"/>
    <n v="0.38"/>
    <m/>
    <m/>
    <m/>
    <n v="4.8595180722891564"/>
    <n v="80.667999999999992"/>
    <m/>
  </r>
  <r>
    <x v="16"/>
    <x v="0"/>
    <x v="3"/>
    <n v="137"/>
    <n v="11"/>
    <m/>
    <n v="8"/>
    <m/>
    <n v="278.5"/>
    <m/>
    <m/>
    <n v="16"/>
    <m/>
    <m/>
    <m/>
    <m/>
    <n v="663"/>
    <n v="941.5"/>
    <n v="0.3"/>
    <n v="0.02"/>
    <n v="0.68"/>
    <m/>
    <m/>
    <m/>
    <n v="6.8722627737226274"/>
    <n v="85.590909090909093"/>
    <m/>
  </r>
  <r>
    <x v="17"/>
    <x v="1"/>
    <x v="0"/>
    <n v="409"/>
    <n v="14"/>
    <m/>
    <n v="14"/>
    <m/>
    <m/>
    <n v="690.48"/>
    <n v="1651.37"/>
    <m/>
    <n v="0"/>
    <n v="0"/>
    <n v="42"/>
    <n v="892"/>
    <m/>
    <n v="3275.85"/>
    <n v="0.72770425996306298"/>
    <n v="0"/>
    <n v="0.27229574003693696"/>
    <m/>
    <m/>
    <m/>
    <n v="8.0094132029339846"/>
    <n v="233.9892857142857"/>
    <s v="Opening Day"/>
  </r>
  <r>
    <x v="18"/>
    <x v="1"/>
    <x v="0"/>
    <n v="269"/>
    <n v="13"/>
    <m/>
    <n v="13"/>
    <m/>
    <m/>
    <n v="406.08"/>
    <n v="1162.17"/>
    <m/>
    <n v="0"/>
    <n v="0"/>
    <n v="20"/>
    <n v="453.5"/>
    <m/>
    <n v="2041.75"/>
    <n v="0.77788661687278071"/>
    <n v="0"/>
    <n v="0.22211338312721929"/>
    <m/>
    <m/>
    <m/>
    <n v="7.5901486988847582"/>
    <n v="157.05769230769232"/>
    <s v="Light Rain"/>
  </r>
  <r>
    <x v="19"/>
    <x v="1"/>
    <x v="0"/>
    <n v="378"/>
    <n v="16"/>
    <m/>
    <n v="16"/>
    <m/>
    <m/>
    <n v="467"/>
    <n v="1254.5"/>
    <m/>
    <n v="8"/>
    <n v="20"/>
    <n v="50"/>
    <n v="553.5"/>
    <m/>
    <n v="2353"/>
    <n v="0.76476838079048026"/>
    <n v="1.1899702507437314E-2"/>
    <n v="0.23523161920951977"/>
    <m/>
    <m/>
    <m/>
    <n v="6.2248677248677247"/>
    <n v="147.0625"/>
    <s v="Kid's Day"/>
  </r>
  <r>
    <x v="20"/>
    <x v="1"/>
    <x v="0"/>
    <n v="280"/>
    <n v="14"/>
    <m/>
    <n v="14"/>
    <m/>
    <m/>
    <n v="359"/>
    <n v="1727.25"/>
    <m/>
    <n v="0"/>
    <n v="16"/>
    <n v="36"/>
    <n v="886.5"/>
    <m/>
    <n v="3024.75"/>
    <n v="0.70691792710141332"/>
    <n v="5.2896933630878582E-3"/>
    <n v="0.29308207289858668"/>
    <m/>
    <m/>
    <m/>
    <n v="10.802678571428572"/>
    <n v="216.05357142857142"/>
    <m/>
  </r>
  <r>
    <x v="21"/>
    <x v="1"/>
    <x v="0"/>
    <n v="535"/>
    <n v="14"/>
    <m/>
    <n v="14"/>
    <m/>
    <m/>
    <n v="384"/>
    <n v="1367"/>
    <m/>
    <n v="0"/>
    <n v="20"/>
    <n v="50"/>
    <n v="618.45000000000005"/>
    <m/>
    <n v="2439.4499999999998"/>
    <n v="0.74647973928549471"/>
    <n v="8.1985693496484865E-3"/>
    <n v="0.25352026071450534"/>
    <m/>
    <m/>
    <m/>
    <n v="4.5597196261682242"/>
    <n v="174.24642857142857"/>
    <s v="Car Show"/>
  </r>
  <r>
    <x v="22"/>
    <x v="1"/>
    <x v="1"/>
    <n v="246"/>
    <n v="13"/>
    <m/>
    <n v="13"/>
    <m/>
    <m/>
    <n v="413"/>
    <n v="1253.6300000000001"/>
    <m/>
    <n v="0"/>
    <n v="28"/>
    <n v="30"/>
    <n v="280.5"/>
    <m/>
    <n v="2005.13"/>
    <n v="0.86010882087445706"/>
    <n v="1.3964181873494486E-2"/>
    <n v="0.13989117912554297"/>
    <m/>
    <m/>
    <m/>
    <n v="8.1509349593495948"/>
    <n v="154.24076923076925"/>
    <s v="Rainier Days"/>
  </r>
  <r>
    <x v="23"/>
    <x v="1"/>
    <x v="1"/>
    <n v="286"/>
    <n v="15"/>
    <m/>
    <n v="15"/>
    <m/>
    <m/>
    <n v="360"/>
    <n v="1462.3"/>
    <m/>
    <n v="0"/>
    <n v="36"/>
    <n v="22"/>
    <n v="347.5"/>
    <m/>
    <n v="2227.8000000000002"/>
    <n v="0.84401651853846837"/>
    <n v="1.6159439806086719E-2"/>
    <n v="0.15598348146153154"/>
    <m/>
    <m/>
    <m/>
    <n v="7.7895104895104899"/>
    <n v="148.52000000000001"/>
    <m/>
  </r>
  <r>
    <x v="24"/>
    <x v="1"/>
    <x v="1"/>
    <n v="238"/>
    <n v="14"/>
    <m/>
    <n v="14"/>
    <m/>
    <m/>
    <n v="534"/>
    <n v="1489.05"/>
    <m/>
    <n v="0"/>
    <n v="44"/>
    <n v="18"/>
    <n v="242"/>
    <m/>
    <n v="2327.0500000000002"/>
    <n v="0.8960056724178681"/>
    <n v="1.8908059560387613E-2"/>
    <n v="0.10399432758213188"/>
    <m/>
    <m/>
    <m/>
    <n v="9.7775210084033617"/>
    <n v="166.21785714285716"/>
    <s v="Columbia County Fair"/>
  </r>
  <r>
    <x v="25"/>
    <x v="1"/>
    <x v="1"/>
    <n v="396"/>
    <n v="17"/>
    <m/>
    <n v="17"/>
    <m/>
    <m/>
    <n v="450"/>
    <n v="2241.1999999999998"/>
    <m/>
    <n v="0"/>
    <n v="48"/>
    <n v="68"/>
    <n v="289"/>
    <m/>
    <n v="3096.2"/>
    <n v="0.90665977650022611"/>
    <n v="1.5502874491311932E-2"/>
    <n v="9.3340223499773917E-2"/>
    <m/>
    <m/>
    <m/>
    <n v="7.8186868686868678"/>
    <n v="182.12941176470588"/>
    <s v="Bee Day/City Garage Sale"/>
  </r>
  <r>
    <x v="26"/>
    <x v="1"/>
    <x v="2"/>
    <n v="320"/>
    <n v="11"/>
    <m/>
    <n v="11"/>
    <m/>
    <m/>
    <n v="415"/>
    <n v="1239.1600000000001"/>
    <m/>
    <n v="0"/>
    <n v="36"/>
    <n v="12"/>
    <n v="438"/>
    <m/>
    <n v="2140.16"/>
    <n v="0.79534240430622016"/>
    <n v="1.6821172248803831E-2"/>
    <n v="0.20465759569377992"/>
    <m/>
    <m/>
    <m/>
    <n v="6.6879999999999997"/>
    <n v="194.55999999999997"/>
    <m/>
  </r>
  <r>
    <x v="27"/>
    <x v="1"/>
    <x v="2"/>
    <n v="181"/>
    <n v="10"/>
    <m/>
    <n v="10"/>
    <m/>
    <m/>
    <n v="355"/>
    <n v="1054.3399999999999"/>
    <m/>
    <n v="0"/>
    <n v="16"/>
    <n v="18"/>
    <n v="271"/>
    <m/>
    <n v="1714.34"/>
    <n v="0.84192167248037142"/>
    <n v="9.3330377871367418E-3"/>
    <n v="0.15807832751962855"/>
    <m/>
    <m/>
    <m/>
    <n v="9.4714917127071825"/>
    <n v="171.434"/>
    <s v="Rain"/>
  </r>
  <r>
    <x v="28"/>
    <x v="1"/>
    <x v="2"/>
    <n v="440"/>
    <n v="20"/>
    <m/>
    <n v="20"/>
    <m/>
    <m/>
    <n v="597"/>
    <n v="4297.72"/>
    <m/>
    <n v="0"/>
    <n v="64"/>
    <n v="48"/>
    <n v="747.5"/>
    <m/>
    <n v="5754.22"/>
    <n v="0.87009533872531808"/>
    <n v="1.112227200211323E-2"/>
    <n v="0.12990466127468189"/>
    <m/>
    <m/>
    <m/>
    <n v="13.077772727272729"/>
    <n v="287.71100000000001"/>
    <s v="Garlic Festival"/>
  </r>
  <r>
    <x v="29"/>
    <x v="1"/>
    <x v="2"/>
    <n v="257"/>
    <n v="13"/>
    <m/>
    <n v="13"/>
    <m/>
    <m/>
    <n v="457"/>
    <n v="1569.36"/>
    <m/>
    <n v="0"/>
    <n v="48"/>
    <n v="30"/>
    <n v="518"/>
    <m/>
    <n v="2622.3599999999997"/>
    <n v="0.80246800591833312"/>
    <n v="1.8304123003706586E-2"/>
    <n v="0.19753199408166691"/>
    <m/>
    <m/>
    <m/>
    <n v="10.203735408560309"/>
    <n v="201.71999999999997"/>
    <m/>
  </r>
  <r>
    <x v="30"/>
    <x v="1"/>
    <x v="3"/>
    <n v="275"/>
    <n v="14"/>
    <m/>
    <n v="14"/>
    <m/>
    <m/>
    <n v="287"/>
    <n v="1745.19"/>
    <m/>
    <n v="0"/>
    <n v="36"/>
    <n v="24"/>
    <n v="385"/>
    <m/>
    <n v="2477.19"/>
    <n v="0.84458196585647449"/>
    <n v="1.4532595400433555E-2"/>
    <n v="0.15541803414352554"/>
    <m/>
    <m/>
    <m/>
    <n v="9.0079636363636357"/>
    <n v="176.94214285714287"/>
    <m/>
  </r>
  <r>
    <x v="31"/>
    <x v="1"/>
    <x v="3"/>
    <n v="248"/>
    <n v="15"/>
    <m/>
    <n v="15"/>
    <m/>
    <m/>
    <n v="72"/>
    <n v="1388.52"/>
    <m/>
    <n v="0"/>
    <n v="36"/>
    <n v="30"/>
    <n v="190"/>
    <m/>
    <n v="1716.52"/>
    <n v="0.88931093141938344"/>
    <n v="2.0972665625801041E-2"/>
    <n v="0.1106890685806166"/>
    <m/>
    <m/>
    <m/>
    <n v="6.9214516129032253"/>
    <n v="114.43466666666667"/>
    <s v="Soccer Jamboree"/>
  </r>
  <r>
    <x v="32"/>
    <x v="1"/>
    <x v="3"/>
    <n v="159"/>
    <n v="8"/>
    <m/>
    <n v="8"/>
    <m/>
    <m/>
    <n v="0"/>
    <n v="886.09"/>
    <m/>
    <n v="0"/>
    <n v="84"/>
    <n v="14"/>
    <n v="448.5"/>
    <m/>
    <n v="1432.5900000000001"/>
    <n v="0.68693066404204972"/>
    <n v="5.8635059577408742E-2"/>
    <n v="0.31306933595795028"/>
    <m/>
    <m/>
    <m/>
    <n v="9.0100000000000016"/>
    <n v="179.07375000000002"/>
    <s v="Crepes/Light Rain"/>
  </r>
  <r>
    <x v="33"/>
    <x v="1"/>
    <x v="3"/>
    <n v="127"/>
    <n v="10"/>
    <m/>
    <n v="10"/>
    <m/>
    <m/>
    <n v="350"/>
    <n v="844.6"/>
    <m/>
    <n v="0"/>
    <n v="111.75"/>
    <n v="8"/>
    <n v="76.5"/>
    <m/>
    <n v="1390.85"/>
    <n v="0.94499766329942125"/>
    <n v="8.0346550670453321E-2"/>
    <n v="5.5002336700578788E-2"/>
    <m/>
    <m/>
    <m/>
    <n v="10.951574803149606"/>
    <n v="139.08499999999998"/>
    <s v="Rain"/>
  </r>
  <r>
    <x v="34"/>
    <x v="1"/>
    <x v="3"/>
    <n v="195"/>
    <n v="10"/>
    <m/>
    <n v="10"/>
    <m/>
    <m/>
    <n v="454"/>
    <n v="1258.22"/>
    <m/>
    <n v="0"/>
    <n v="28"/>
    <n v="12"/>
    <n v="476"/>
    <m/>
    <n v="2228.2200000000003"/>
    <n v="0.78637656963854552"/>
    <n v="1.2566084138909082E-2"/>
    <n v="0.2136234303614544"/>
    <m/>
    <m/>
    <m/>
    <n v="11.426769230769231"/>
    <n v="222.82200000000003"/>
    <s v="Apple Pressing/Last Day"/>
  </r>
  <r>
    <x v="35"/>
    <x v="2"/>
    <x v="0"/>
    <n v="286"/>
    <n v="13"/>
    <m/>
    <m/>
    <n v="53"/>
    <m/>
    <n v="408"/>
    <n v="986.5"/>
    <m/>
    <n v="0"/>
    <n v="0"/>
    <n v="58"/>
    <n v="1175"/>
    <m/>
    <n v="2681"/>
    <n v="0.54177545691906004"/>
    <n v="0"/>
    <n v="0.45803804550540844"/>
    <m/>
    <m/>
    <m/>
    <n v="9.3741258741258733"/>
    <n v="206.23076923076923"/>
    <s v="Opening Day"/>
  </r>
  <r>
    <x v="36"/>
    <x v="2"/>
    <x v="0"/>
    <n v="239"/>
    <n v="10"/>
    <m/>
    <m/>
    <n v="0"/>
    <m/>
    <n v="512"/>
    <n v="960"/>
    <m/>
    <n v="0"/>
    <n v="0"/>
    <n v="70"/>
    <n v="541"/>
    <m/>
    <n v="2083"/>
    <n v="0.74027844455112823"/>
    <n v="0"/>
    <n v="0.25972155544887182"/>
    <m/>
    <m/>
    <m/>
    <n v="8.7154811715481166"/>
    <n v="208.3"/>
    <s v="High School Graduation"/>
  </r>
  <r>
    <x v="37"/>
    <x v="2"/>
    <x v="0"/>
    <n v="223"/>
    <n v="11"/>
    <m/>
    <m/>
    <n v="37"/>
    <m/>
    <n v="408"/>
    <n v="899.5"/>
    <m/>
    <n v="0"/>
    <n v="0"/>
    <n v="0"/>
    <n v="501"/>
    <m/>
    <n v="1845.5"/>
    <n v="0.70848008669737195"/>
    <n v="0"/>
    <n v="0.291519913302628"/>
    <m/>
    <m/>
    <m/>
    <n v="8.2757847533632294"/>
    <n v="167.77272727272728"/>
    <s v="Father's Day/Bike Ride"/>
  </r>
  <r>
    <x v="38"/>
    <x v="2"/>
    <x v="0"/>
    <n v="186"/>
    <n v="9"/>
    <m/>
    <m/>
    <n v="42"/>
    <m/>
    <n v="401"/>
    <n v="681"/>
    <m/>
    <n v="0"/>
    <n v="4"/>
    <n v="30"/>
    <n v="467"/>
    <m/>
    <n v="1625"/>
    <n v="0.6867692307692308"/>
    <n v="2.4615384615384616E-3"/>
    <n v="0.31323076923076926"/>
    <m/>
    <m/>
    <m/>
    <n v="8.736559139784946"/>
    <n v="180.55555555555554"/>
    <s v="Morning Rain"/>
  </r>
  <r>
    <x v="39"/>
    <x v="2"/>
    <x v="0"/>
    <n v="410"/>
    <n v="13"/>
    <m/>
    <m/>
    <n v="0"/>
    <m/>
    <n v="380"/>
    <n v="1402.61"/>
    <m/>
    <n v="0"/>
    <n v="36"/>
    <n v="54"/>
    <n v="770.5"/>
    <m/>
    <n v="2643.11"/>
    <n v="0.70848735012920383"/>
    <n v="1.362031848844732E-2"/>
    <n v="0.29151264987079611"/>
    <m/>
    <m/>
    <m/>
    <n v="6.446609756097561"/>
    <n v="203.31615384615387"/>
    <s v="Car Show - Heritage Days"/>
  </r>
  <r>
    <x v="40"/>
    <x v="2"/>
    <x v="1"/>
    <n v="244"/>
    <n v="13"/>
    <m/>
    <m/>
    <n v="143"/>
    <m/>
    <n v="0"/>
    <n v="1822"/>
    <m/>
    <n v="0"/>
    <n v="20"/>
    <n v="42"/>
    <n v="276"/>
    <m/>
    <n v="2303"/>
    <n v="0.81806339557099439"/>
    <n v="8.6843247937472869E-3"/>
    <n v="0.18193660442900564"/>
    <m/>
    <m/>
    <m/>
    <n v="9.4385245901639347"/>
    <n v="177.15384615384616"/>
    <s v="No Food Cart"/>
  </r>
  <r>
    <x v="41"/>
    <x v="2"/>
    <x v="1"/>
    <n v="161"/>
    <n v="13"/>
    <m/>
    <m/>
    <n v="50"/>
    <m/>
    <n v="234"/>
    <n v="1153.5"/>
    <m/>
    <n v="0"/>
    <n v="28"/>
    <n v="12"/>
    <n v="629.5"/>
    <m/>
    <n v="2107"/>
    <n v="0.67750355956336028"/>
    <n v="1.3289036544850499E-2"/>
    <n v="0.32249644043663978"/>
    <m/>
    <m/>
    <m/>
    <n v="13.086956521739131"/>
    <n v="162.07692307692307"/>
    <s v="Rainier Days"/>
  </r>
  <r>
    <x v="42"/>
    <x v="2"/>
    <x v="1"/>
    <n v="217"/>
    <n v="12"/>
    <m/>
    <m/>
    <n v="0"/>
    <m/>
    <n v="351"/>
    <n v="1096.4000000000001"/>
    <m/>
    <n v="0"/>
    <n v="56"/>
    <n v="24"/>
    <n v="326"/>
    <m/>
    <n v="1853.4"/>
    <n v="0.82410704650911837"/>
    <n v="3.0214740476961259E-2"/>
    <n v="0.1758929534908816"/>
    <m/>
    <m/>
    <m/>
    <n v="8.5410138248847929"/>
    <n v="154.45000000000002"/>
    <s v="Columbia County Fair"/>
  </r>
  <r>
    <x v="43"/>
    <x v="2"/>
    <x v="1"/>
    <n v="303"/>
    <n v="18"/>
    <m/>
    <m/>
    <n v="51"/>
    <m/>
    <n v="709"/>
    <n v="2344"/>
    <m/>
    <n v="0"/>
    <n v="72"/>
    <n v="50"/>
    <n v="906.5"/>
    <m/>
    <n v="4132.5"/>
    <n v="0.7683000604960678"/>
    <n v="1.7422867513611617E-2"/>
    <n v="0.23169993950393225"/>
    <m/>
    <m/>
    <m/>
    <n v="13.638613861386139"/>
    <n v="229.58333333333334"/>
    <s v="Bee Day/City Garage Sale"/>
  </r>
  <r>
    <x v="44"/>
    <x v="2"/>
    <x v="2"/>
    <n v="263"/>
    <n v="9"/>
    <m/>
    <m/>
    <n v="0"/>
    <m/>
    <n v="0"/>
    <n v="1228"/>
    <m/>
    <n v="0"/>
    <n v="36"/>
    <n v="48"/>
    <n v="492.5"/>
    <m/>
    <n v="1804.5"/>
    <n v="0.72707121086173454"/>
    <n v="1.9950124688279301E-2"/>
    <n v="0.27292878913826546"/>
    <m/>
    <m/>
    <m/>
    <n v="6.8612167300380227"/>
    <n v="200.5"/>
    <s v="Clatskanie Festival"/>
  </r>
  <r>
    <x v="45"/>
    <x v="2"/>
    <x v="2"/>
    <n v="178"/>
    <n v="12"/>
    <m/>
    <m/>
    <n v="35"/>
    <m/>
    <n v="230"/>
    <n v="1342.5"/>
    <m/>
    <n v="0"/>
    <n v="36"/>
    <n v="54"/>
    <n v="202"/>
    <m/>
    <n v="1899.5"/>
    <n v="0.87523032376941301"/>
    <n v="1.8952355883127138E-2"/>
    <n v="0.12476967623058699"/>
    <m/>
    <m/>
    <m/>
    <n v="10.671348314606741"/>
    <n v="158.29166666666666"/>
    <s v="Nat Farmers Market Week"/>
  </r>
  <r>
    <x v="46"/>
    <x v="2"/>
    <x v="2"/>
    <n v="397"/>
    <n v="18"/>
    <m/>
    <m/>
    <n v="0"/>
    <m/>
    <n v="635"/>
    <n v="5230.3500000000004"/>
    <m/>
    <n v="0"/>
    <n v="116"/>
    <n v="22"/>
    <n v="980"/>
    <m/>
    <n v="6983.35"/>
    <n v="0.85966620604724098"/>
    <n v="1.6610938876040867E-2"/>
    <n v="0.14033379395275905"/>
    <m/>
    <m/>
    <m/>
    <n v="17.590302267002521"/>
    <n v="387.9638888888889"/>
    <s v="Garlic Festival"/>
  </r>
  <r>
    <x v="47"/>
    <x v="2"/>
    <x v="2"/>
    <n v="193"/>
    <n v="10"/>
    <m/>
    <m/>
    <n v="66"/>
    <m/>
    <n v="0"/>
    <n v="963.55"/>
    <m/>
    <n v="0"/>
    <n v="44"/>
    <n v="20"/>
    <n v="413"/>
    <m/>
    <n v="1506.55"/>
    <n v="0.68205502638478643"/>
    <n v="2.9205801334174109E-2"/>
    <n v="0.31794497361521357"/>
    <m/>
    <m/>
    <m/>
    <n v="7.8059585492227974"/>
    <n v="150.655"/>
    <s v="OSU Nutrition Demo"/>
  </r>
  <r>
    <x v="48"/>
    <x v="2"/>
    <x v="2"/>
    <n v="269"/>
    <n v="12"/>
    <m/>
    <m/>
    <n v="96"/>
    <m/>
    <n v="303"/>
    <n v="1607.57"/>
    <m/>
    <n v="0"/>
    <n v="108"/>
    <n v="38"/>
    <n v="257"/>
    <m/>
    <n v="2409.5700000000002"/>
    <n v="0.853500832098673"/>
    <n v="4.4821275165278451E-2"/>
    <n v="0.14649916790132678"/>
    <m/>
    <m/>
    <m/>
    <n v="8.9575092936802978"/>
    <n v="200.79750000000001"/>
    <s v="Labor Day Weekend"/>
  </r>
  <r>
    <x v="49"/>
    <x v="2"/>
    <x v="3"/>
    <n v="221"/>
    <n v="12"/>
    <m/>
    <m/>
    <n v="13.05"/>
    <m/>
    <n v="420"/>
    <n v="1463"/>
    <m/>
    <n v="0"/>
    <n v="48"/>
    <n v="24"/>
    <n v="396"/>
    <m/>
    <n v="2364.0500000000002"/>
    <n v="0.82697066474905345"/>
    <n v="2.0304139083352719E-2"/>
    <n v="0.17302933525094646"/>
    <m/>
    <m/>
    <m/>
    <n v="10.697058823529412"/>
    <n v="197.00416666666669"/>
    <s v="Soccer Jamboree"/>
  </r>
  <r>
    <x v="50"/>
    <x v="2"/>
    <x v="3"/>
    <n v="168"/>
    <n v="11"/>
    <m/>
    <m/>
    <n v="58"/>
    <m/>
    <n v="350"/>
    <n v="1215.02"/>
    <m/>
    <n v="0"/>
    <n v="86"/>
    <n v="26"/>
    <n v="304.5"/>
    <m/>
    <n v="2039.52"/>
    <n v="0.8222621008864831"/>
    <n v="4.2166784341413667E-2"/>
    <n v="0.1777378991135169"/>
    <m/>
    <m/>
    <m/>
    <n v="12.14"/>
    <n v="185.41090909090909"/>
    <s v=" "/>
  </r>
  <r>
    <x v="51"/>
    <x v="2"/>
    <x v="3"/>
    <n v="217"/>
    <n v="10"/>
    <m/>
    <m/>
    <n v="69"/>
    <m/>
    <n v="280"/>
    <n v="1158.75"/>
    <m/>
    <n v="0"/>
    <n v="136"/>
    <n v="44"/>
    <n v="371"/>
    <m/>
    <n v="2058.75"/>
    <n v="0.78627808136004862"/>
    <n v="6.60595021250759E-2"/>
    <n v="0.21372191863995144"/>
    <m/>
    <m/>
    <m/>
    <n v="9.4873271889400925"/>
    <n v="205.875"/>
    <s v=" "/>
  </r>
  <r>
    <x v="52"/>
    <x v="2"/>
    <x v="3"/>
    <n v="224"/>
    <n v="12"/>
    <m/>
    <m/>
    <n v="28"/>
    <m/>
    <n v="470"/>
    <n v="1282.5"/>
    <m/>
    <n v="0"/>
    <n v="84"/>
    <n v="36"/>
    <n v="317"/>
    <m/>
    <n v="2217.5"/>
    <n v="0.84441939120631337"/>
    <n v="3.7880496054114997E-2"/>
    <n v="0.1555806087936866"/>
    <m/>
    <m/>
    <m/>
    <n v="9.8995535714285712"/>
    <n v="184.79166666666666"/>
    <s v="Apple Pressing/Last Day"/>
  </r>
  <r>
    <x v="53"/>
    <x v="3"/>
    <x v="0"/>
    <n v="139"/>
    <n v="7"/>
    <n v="0"/>
    <m/>
    <m/>
    <m/>
    <n v="160"/>
    <n v="712.6"/>
    <m/>
    <n v="0"/>
    <n v="0"/>
    <m/>
    <n v="236.5"/>
    <m/>
    <n v="1109.0999999999999"/>
    <n v="0.78676404291768109"/>
    <n v="0"/>
    <n v="0.21323595708231902"/>
    <n v="140"/>
    <n v="7"/>
    <m/>
    <n v="7.979136690647481"/>
    <n v="158.44285714285712"/>
    <s v="Walk In Market Opening Day"/>
  </r>
  <r>
    <x v="54"/>
    <x v="3"/>
    <x v="0"/>
    <n v="157"/>
    <n v="8"/>
    <n v="0"/>
    <m/>
    <m/>
    <m/>
    <n v="191"/>
    <n v="734.5"/>
    <m/>
    <n v="0"/>
    <n v="0"/>
    <m/>
    <n v="375"/>
    <m/>
    <n v="1300.5"/>
    <n v="0.71164936562860437"/>
    <n v="0"/>
    <n v="0.28835063437139563"/>
    <n v="104"/>
    <n v="4"/>
    <m/>
    <n v="8.2834394904458595"/>
    <n v="162.5625"/>
    <m/>
  </r>
  <r>
    <x v="55"/>
    <x v="3"/>
    <x v="1"/>
    <n v="221"/>
    <n v="6"/>
    <n v="0"/>
    <m/>
    <m/>
    <m/>
    <n v="365.5"/>
    <n v="1301"/>
    <m/>
    <n v="15"/>
    <n v="12"/>
    <m/>
    <n v="176"/>
    <m/>
    <n v="1869.5"/>
    <n v="0.90585718106445579"/>
    <n v="1.4442364268520995E-2"/>
    <n v="9.4142818935544256E-2"/>
    <n v="241.5"/>
    <n v="7"/>
    <m/>
    <n v="8.4592760180995477"/>
    <n v="311.58333333333331"/>
    <s v="Independence Day"/>
  </r>
  <r>
    <x v="56"/>
    <x v="3"/>
    <x v="1"/>
    <n v="200"/>
    <n v="8"/>
    <n v="30"/>
    <m/>
    <m/>
    <m/>
    <n v="396.5"/>
    <n v="749.45"/>
    <m/>
    <n v="104"/>
    <n v="36"/>
    <m/>
    <n v="299.5"/>
    <m/>
    <n v="1615.45"/>
    <n v="0.79603206536878268"/>
    <n v="8.6663158872140891E-2"/>
    <n v="0.20396793463121729"/>
    <n v="77"/>
    <n v="4"/>
    <m/>
    <n v="8.0772499999999994"/>
    <n v="201.93125000000001"/>
    <m/>
  </r>
  <r>
    <x v="57"/>
    <x v="3"/>
    <x v="1"/>
    <n v="148"/>
    <n v="5"/>
    <n v="62"/>
    <m/>
    <m/>
    <m/>
    <n v="545"/>
    <n v="1158"/>
    <m/>
    <n v="0"/>
    <n v="4"/>
    <m/>
    <n v="153.5"/>
    <m/>
    <n v="1922.5"/>
    <n v="0.88790637191157351"/>
    <n v="2.0806241872561768E-3"/>
    <n v="7.9843953185955788E-2"/>
    <n v="244.5"/>
    <n v="7"/>
    <m/>
    <n v="12.989864864864865"/>
    <n v="384.5"/>
    <m/>
  </r>
  <r>
    <x v="58"/>
    <x v="3"/>
    <x v="1"/>
    <n v="204"/>
    <n v="7"/>
    <n v="42"/>
    <m/>
    <m/>
    <m/>
    <n v="521"/>
    <n v="1573.2"/>
    <m/>
    <n v="0"/>
    <n v="32"/>
    <m/>
    <n v="229"/>
    <m/>
    <n v="2397.1999999999998"/>
    <n v="0.88695144335057563"/>
    <n v="1.3348907058234608E-2"/>
    <n v="0.11304855664942434"/>
    <n v="115.5"/>
    <n v="5"/>
    <m/>
    <n v="11.750980392156862"/>
    <n v="342.45714285714286"/>
    <m/>
  </r>
  <r>
    <x v="59"/>
    <x v="3"/>
    <x v="2"/>
    <n v="259"/>
    <n v="8"/>
    <n v="67"/>
    <m/>
    <m/>
    <m/>
    <n v="705"/>
    <n v="1393.5"/>
    <m/>
    <n v="12"/>
    <n v="28"/>
    <m/>
    <n v="297"/>
    <m/>
    <n v="2502.5"/>
    <n v="0.8545454545454545"/>
    <n v="1.5984015984015984E-2"/>
    <n v="0.14545454545454545"/>
    <n v="93"/>
    <n v="3"/>
    <m/>
    <n v="9.6621621621621614"/>
    <n v="312.8125"/>
    <s v="Clatskanie Festival"/>
  </r>
  <r>
    <x v="60"/>
    <x v="3"/>
    <x v="2"/>
    <n v="164"/>
    <n v="8"/>
    <n v="12"/>
    <m/>
    <m/>
    <m/>
    <n v="448"/>
    <n v="1333.5"/>
    <m/>
    <n v="0"/>
    <n v="0"/>
    <m/>
    <n v="150"/>
    <m/>
    <n v="1943.5"/>
    <n v="0.91664522768201695"/>
    <n v="0"/>
    <n v="7.7180344738873169E-2"/>
    <n v="226"/>
    <n v="5"/>
    <m/>
    <n v="11.850609756097562"/>
    <n v="242.9375"/>
    <m/>
  </r>
  <r>
    <x v="61"/>
    <x v="3"/>
    <x v="2"/>
    <n v="134"/>
    <n v="7"/>
    <n v="27"/>
    <m/>
    <m/>
    <m/>
    <n v="580"/>
    <n v="1244.5"/>
    <m/>
    <n v="0"/>
    <n v="149"/>
    <m/>
    <n v="297.5"/>
    <m/>
    <n v="2298"/>
    <n v="0.85879025239338558"/>
    <n v="6.4838990426457785E-2"/>
    <n v="0.14120974760661445"/>
    <n v="9"/>
    <n v="1"/>
    <m/>
    <n v="17.149253731343283"/>
    <n v="328.28571428571428"/>
    <m/>
  </r>
  <r>
    <x v="62"/>
    <x v="3"/>
    <x v="2"/>
    <n v="186"/>
    <n v="7"/>
    <n v="10"/>
    <m/>
    <m/>
    <m/>
    <n v="718.5"/>
    <n v="1593.28"/>
    <m/>
    <n v="20"/>
    <n v="142"/>
    <m/>
    <n v="254"/>
    <m/>
    <n v="2737.7799999999997"/>
    <n v="0.90357150684130938"/>
    <n v="5.9172029892832885E-2"/>
    <n v="9.2775898720861436E-2"/>
    <n v="313.25"/>
    <n v="9"/>
    <m/>
    <n v="14.719247311827955"/>
    <n v="391.11142857142852"/>
    <m/>
  </r>
  <r>
    <x v="63"/>
    <x v="3"/>
    <x v="2"/>
    <n v="192"/>
    <n v="10"/>
    <n v="10"/>
    <m/>
    <m/>
    <m/>
    <n v="585.5"/>
    <n v="1404.87"/>
    <m/>
    <n v="9"/>
    <n v="185"/>
    <m/>
    <n v="551.5"/>
    <m/>
    <n v="2745.87"/>
    <n v="0.79551107663509202"/>
    <n v="7.0651560343352016E-2"/>
    <n v="0.20448892336490804"/>
    <n v="166"/>
    <n v="4"/>
    <m/>
    <n v="14.301406249999999"/>
    <n v="274.58699999999999"/>
    <m/>
  </r>
  <r>
    <x v="64"/>
    <x v="3"/>
    <x v="3"/>
    <n v="176"/>
    <n v="9"/>
    <n v="8"/>
    <m/>
    <m/>
    <m/>
    <n v="372"/>
    <n v="1147"/>
    <m/>
    <n v="2"/>
    <n v="106"/>
    <m/>
    <n v="705.5"/>
    <m/>
    <n v="2340.5"/>
    <n v="0.69515060884426405"/>
    <n v="4.6143986327707755E-2"/>
    <n v="0.30143131809442425"/>
    <n v="44"/>
    <n v="1"/>
    <m/>
    <n v="13.298295454545455"/>
    <n v="260.05555555555554"/>
    <m/>
  </r>
  <r>
    <x v="65"/>
    <x v="3"/>
    <x v="3"/>
    <n v="133"/>
    <n v="9"/>
    <n v="17"/>
    <m/>
    <m/>
    <m/>
    <n v="290"/>
    <n v="1561.53"/>
    <m/>
    <n v="0"/>
    <n v="80"/>
    <m/>
    <n v="235"/>
    <m/>
    <n v="2183.5299999999997"/>
    <n v="0.88459054833228767"/>
    <n v="3.6637921164353139E-2"/>
    <n v="0.11540945166771238"/>
    <n v="161.15"/>
    <n v="3"/>
    <m/>
    <n v="16.417518796992479"/>
    <n v="242.61444444444442"/>
    <m/>
  </r>
  <r>
    <x v="66"/>
    <x v="3"/>
    <x v="3"/>
    <n v="196"/>
    <n v="10"/>
    <n v="37"/>
    <m/>
    <m/>
    <m/>
    <n v="537.5"/>
    <n v="1507.72"/>
    <m/>
    <n v="0"/>
    <n v="54"/>
    <m/>
    <n v="1135"/>
    <m/>
    <n v="3271.2200000000003"/>
    <n v="0.64172388283270465"/>
    <n v="1.6507602668117703E-2"/>
    <n v="0.35827611716729535"/>
    <n v="404.5"/>
    <n v="5"/>
    <m/>
    <n v="16.689897959183675"/>
    <n v="327.12200000000001"/>
    <s v="Last market day 2020"/>
  </r>
  <r>
    <x v="67"/>
    <x v="4"/>
    <x v="0"/>
    <n v="216"/>
    <n v="9"/>
    <n v="0"/>
    <m/>
    <m/>
    <m/>
    <n v="387"/>
    <n v="1010"/>
    <m/>
    <n v="0"/>
    <n v="0"/>
    <m/>
    <n v="738.5"/>
    <m/>
    <n v="2135.5"/>
    <n v="0.65417934909857178"/>
    <n v="0"/>
    <n v="0.34582065090142822"/>
    <m/>
    <m/>
    <m/>
    <n v="9.8865740740740744"/>
    <n v="237.27777777777777"/>
    <m/>
  </r>
  <r>
    <x v="68"/>
    <x v="4"/>
    <x v="0"/>
    <n v="253"/>
    <n v="9"/>
    <n v="90"/>
    <m/>
    <m/>
    <m/>
    <n v="770"/>
    <n v="870"/>
    <m/>
    <n v="24"/>
    <n v="0"/>
    <m/>
    <n v="1511.5"/>
    <m/>
    <n v="3265.5"/>
    <n v="0.50956974429643243"/>
    <n v="7.3495636196600827E-3"/>
    <n v="0.46286939212984229"/>
    <m/>
    <m/>
    <n v="10"/>
    <n v="12.90711462450593"/>
    <n v="362.83333333333331"/>
    <m/>
  </r>
  <r>
    <x v="69"/>
    <x v="4"/>
    <x v="0"/>
    <n v="311"/>
    <n v="12"/>
    <n v="45"/>
    <m/>
    <m/>
    <m/>
    <n v="920"/>
    <n v="1164"/>
    <m/>
    <n v="30"/>
    <n v="0"/>
    <m/>
    <n v="1532.5"/>
    <m/>
    <n v="3691.5"/>
    <n v="0.57266693755925779"/>
    <n v="8.126777732629013E-3"/>
    <n v="0.42733306244074226"/>
    <m/>
    <m/>
    <n v="10"/>
    <n v="11.869774919614148"/>
    <n v="307.625"/>
    <m/>
  </r>
  <r>
    <x v="70"/>
    <x v="4"/>
    <x v="0"/>
    <n v="176"/>
    <n v="5"/>
    <n v="40"/>
    <m/>
    <m/>
    <m/>
    <n v="750"/>
    <n v="855"/>
    <m/>
    <n v="0"/>
    <n v="4"/>
    <m/>
    <n v="206"/>
    <m/>
    <n v="1855"/>
    <n v="0.86738544474393531"/>
    <n v="2.1563342318059301E-3"/>
    <n v="0.13261455525606469"/>
    <m/>
    <m/>
    <m/>
    <n v="10.539772727272727"/>
    <n v="371"/>
    <s v="105 degree temp"/>
  </r>
  <r>
    <x v="71"/>
    <x v="4"/>
    <x v="1"/>
    <n v="342"/>
    <n v="13"/>
    <n v="0"/>
    <m/>
    <m/>
    <m/>
    <n v="1008"/>
    <n v="1344"/>
    <m/>
    <n v="8"/>
    <n v="16"/>
    <m/>
    <n v="1963"/>
    <m/>
    <n v="4339"/>
    <n v="0.54759161097026965"/>
    <n v="5.5312283936390875E-3"/>
    <n v="0.45240838902973035"/>
    <m/>
    <m/>
    <n v="8"/>
    <n v="12.687134502923977"/>
    <n v="333.76923076923077"/>
    <m/>
  </r>
  <r>
    <x v="72"/>
    <x v="4"/>
    <x v="1"/>
    <n v="254"/>
    <n v="12"/>
    <n v="25"/>
    <m/>
    <m/>
    <m/>
    <n v="673"/>
    <n v="1145"/>
    <m/>
    <n v="20"/>
    <n v="8"/>
    <m/>
    <n v="885"/>
    <m/>
    <n v="2756"/>
    <n v="0.66981132075471694"/>
    <n v="1.0159651669085631E-2"/>
    <n v="0.330188679245283"/>
    <m/>
    <m/>
    <n v="10"/>
    <n v="10.850393700787402"/>
    <n v="229.66666666666666"/>
    <m/>
  </r>
  <r>
    <x v="73"/>
    <x v="4"/>
    <x v="1"/>
    <n v="259"/>
    <n v="8"/>
    <n v="15"/>
    <m/>
    <m/>
    <m/>
    <n v="800"/>
    <n v="643.12"/>
    <m/>
    <n v="0"/>
    <n v="14"/>
    <m/>
    <n v="490"/>
    <m/>
    <n v="1962.12"/>
    <n v="0.74262532362954359"/>
    <n v="7.1351395429433478E-3"/>
    <n v="0.25737467637045647"/>
    <m/>
    <m/>
    <m/>
    <n v="7.5757528957528955"/>
    <n v="245.26499999999999"/>
    <m/>
  </r>
  <r>
    <x v="74"/>
    <x v="4"/>
    <x v="1"/>
    <n v="334"/>
    <n v="13"/>
    <n v="200"/>
    <m/>
    <m/>
    <m/>
    <n v="1100"/>
    <n v="2343.91"/>
    <m/>
    <n v="0"/>
    <n v="60"/>
    <m/>
    <n v="1705.75"/>
    <m/>
    <n v="5409.66"/>
    <n v="0.64771353467685588"/>
    <n v="1.1091270061334724E-2"/>
    <n v="0.31531556511869507"/>
    <m/>
    <m/>
    <m/>
    <n v="16.196586826347303"/>
    <n v="416.12769230769231"/>
    <s v="Bee Day"/>
  </r>
  <r>
    <x v="75"/>
    <x v="4"/>
    <x v="1"/>
    <n v="357"/>
    <n v="9"/>
    <n v="40"/>
    <m/>
    <m/>
    <m/>
    <n v="700"/>
    <n v="817"/>
    <m/>
    <n v="8"/>
    <n v="12"/>
    <m/>
    <n v="1121"/>
    <m/>
    <n v="2698"/>
    <n v="0.56968124536693843"/>
    <n v="7.4128984432913266E-3"/>
    <n v="0.43031875463306152"/>
    <m/>
    <m/>
    <m/>
    <n v="7.5574229691876749"/>
    <n v="299.77777777777777"/>
    <m/>
  </r>
  <r>
    <x v="76"/>
    <x v="4"/>
    <x v="2"/>
    <n v="205"/>
    <n v="12"/>
    <n v="0"/>
    <m/>
    <m/>
    <m/>
    <n v="822"/>
    <n v="1243.3"/>
    <m/>
    <n v="77"/>
    <n v="32"/>
    <m/>
    <n v="1592"/>
    <m/>
    <n v="3766.3"/>
    <n v="0.57730398534370608"/>
    <n v="2.8940870350211079E-2"/>
    <n v="0.42269601465629397"/>
    <m/>
    <m/>
    <m/>
    <n v="18.372195121951222"/>
    <n v="313.85833333333335"/>
    <m/>
  </r>
  <r>
    <x v="77"/>
    <x v="4"/>
    <x v="2"/>
    <n v="266"/>
    <n v="7"/>
    <n v="50"/>
    <m/>
    <m/>
    <m/>
    <n v="888"/>
    <n v="524"/>
    <m/>
    <n v="65"/>
    <n v="36"/>
    <m/>
    <n v="1434"/>
    <m/>
    <n v="2997"/>
    <n v="0.50483817150483812"/>
    <n v="3.3700367033700364E-2"/>
    <n v="0.49516182849516183"/>
    <m/>
    <m/>
    <m/>
    <n v="11.266917293233083"/>
    <n v="428.14285714285717"/>
    <m/>
  </r>
  <r>
    <x v="78"/>
    <x v="4"/>
    <x v="2"/>
    <n v="557"/>
    <n v="13"/>
    <n v="200"/>
    <m/>
    <m/>
    <m/>
    <n v="1700"/>
    <n v="3471.54"/>
    <m/>
    <n v="107"/>
    <n v="88"/>
    <m/>
    <n v="2051.5"/>
    <m/>
    <n v="7618.04"/>
    <n v="0.7044515387159952"/>
    <n v="2.5597135221132994E-2"/>
    <n v="0.26929498926232992"/>
    <m/>
    <m/>
    <m/>
    <n v="13.676912028725313"/>
    <n v="586.00307692307695"/>
    <s v="Garlic Festival"/>
  </r>
  <r>
    <x v="79"/>
    <x v="4"/>
    <x v="2"/>
    <n v="202"/>
    <n v="11"/>
    <n v="40"/>
    <m/>
    <m/>
    <m/>
    <n v="550"/>
    <n v="577.5521"/>
    <m/>
    <n v="21"/>
    <n v="32"/>
    <m/>
    <n v="1088.5"/>
    <m/>
    <n v="2309.0520999999999"/>
    <n v="0.51127131345368948"/>
    <n v="2.295314168095211E-2"/>
    <n v="0.48872868654631052"/>
    <m/>
    <m/>
    <m/>
    <n v="11.43095099009901"/>
    <n v="209.91382727272727"/>
    <m/>
  </r>
  <r>
    <x v="80"/>
    <x v="4"/>
    <x v="3"/>
    <n v="186"/>
    <n v="9"/>
    <n v="56"/>
    <m/>
    <m/>
    <m/>
    <n v="1000"/>
    <n v="1410.5"/>
    <m/>
    <n v="60"/>
    <n v="68"/>
    <m/>
    <n v="1233"/>
    <m/>
    <n v="3827.5"/>
    <n v="0.66322664924885699"/>
    <n v="3.3442194644023517E-2"/>
    <n v="0.33677335075114306"/>
    <m/>
    <m/>
    <m/>
    <n v="20.577956989247312"/>
    <n v="425.27777777777777"/>
    <m/>
  </r>
  <r>
    <x v="81"/>
    <x v="4"/>
    <x v="3"/>
    <n v="183"/>
    <n v="9"/>
    <n v="70"/>
    <m/>
    <m/>
    <m/>
    <n v="509"/>
    <n v="734.1"/>
    <m/>
    <n v="44"/>
    <n v="32"/>
    <m/>
    <n v="967"/>
    <m/>
    <n v="2356.1"/>
    <n v="0.55986588005602478"/>
    <n v="3.2256695386443698E-2"/>
    <n v="0.44013411994397522"/>
    <m/>
    <m/>
    <m/>
    <n v="12.874863387978142"/>
    <n v="261.78888888888889"/>
    <m/>
  </r>
  <r>
    <x v="82"/>
    <x v="4"/>
    <x v="3"/>
    <n v="134"/>
    <n v="6"/>
    <n v="100"/>
    <m/>
    <m/>
    <m/>
    <n v="380"/>
    <n v="618"/>
    <m/>
    <n v="0"/>
    <n v="0"/>
    <m/>
    <n v="613"/>
    <m/>
    <n v="1711"/>
    <n v="0.58328462887200472"/>
    <n v="0"/>
    <n v="0.41671537112799534"/>
    <m/>
    <m/>
    <m/>
    <n v="12.76865671641791"/>
    <n v="285.16666666666669"/>
    <s v=" "/>
  </r>
  <r>
    <x v="83"/>
    <x v="4"/>
    <x v="3"/>
    <m/>
    <m/>
    <n v="0"/>
    <m/>
    <m/>
    <m/>
    <n v="0"/>
    <n v="0"/>
    <m/>
    <n v="0"/>
    <n v="0"/>
    <m/>
    <n v="0"/>
    <m/>
    <n v="0"/>
    <e v="#DIV/0!"/>
    <e v="#DIV/0!"/>
    <e v="#DIV/0!"/>
    <m/>
    <m/>
    <n v="0"/>
    <e v="#DIV/0!"/>
    <e v="#DIV/0!"/>
    <s v=" 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A26C2E1-7D42-44F4-BD18-E0B05EC313B8}" name="PivotTable15" cacheId="0" applyNumberFormats="0" applyBorderFormats="0" applyFontFormats="0" applyPatternFormats="0" applyAlignmentFormats="0" applyWidthHeightFormats="1" dataCaption="Values" updatedVersion="6" minRefreshableVersion="3" itemPrintTitles="1" createdVersion="6" indent="0" outline="1" outlineData="1" multipleFieldFilters="0">
  <location ref="S3:U8" firstHeaderRow="0" firstDataRow="1" firstDataCol="1"/>
  <pivotFields count="29">
    <pivotField numFmtId="169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numFmtId="1" showAll="0"/>
    <pivotField axis="axisRow" showAll="0">
      <items count="6">
        <item x="0"/>
        <item x="1"/>
        <item m="1" x="4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showAll="0">
      <items count="10">
        <item sd="0" x="0"/>
        <item sd="0" x="1"/>
        <item sd="0" x="2"/>
        <item sd="0" x="3"/>
        <item sd="0" x="4"/>
        <item sd="0" x="5"/>
        <item sd="0" x="6"/>
        <item sd="0" x="7"/>
        <item sd="0" x="8"/>
        <item t="default"/>
      </items>
    </pivotField>
  </pivotFields>
  <rowFields count="1">
    <field x="2"/>
  </rowFields>
  <rowItems count="5">
    <i>
      <x/>
    </i>
    <i>
      <x v="1"/>
    </i>
    <i>
      <x v="3"/>
    </i>
    <i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Total Sales" fld="17" baseField="0" baseItem="0" numFmtId="166"/>
    <dataField name="Sum of HUB" fld="21" baseField="0" baseItem="0"/>
  </dataFields>
  <formats count="8">
    <format dxfId="7">
      <pivotArea outline="0" collapsedLevelsAreSubtotals="1" fieldPosition="0"/>
    </format>
    <format dxfId="6">
      <pivotArea outline="0" fieldPosition="0">
        <references count="1">
          <reference field="4294967294" count="1">
            <x v="0"/>
          </reference>
        </references>
      </pivotArea>
    </format>
    <format dxfId="5">
      <pivotArea type="all" dataOnly="0" outline="0" fieldPosition="0"/>
    </format>
    <format dxfId="4">
      <pivotArea outline="0" collapsedLevelsAreSubtotals="1" fieldPosition="0"/>
    </format>
    <format dxfId="3">
      <pivotArea field="2" type="button" dataOnly="0" labelOnly="1" outline="0" axis="axisRow" fieldPosition="0"/>
    </format>
    <format dxfId="2">
      <pivotArea dataOnly="0" labelOnly="1" fieldPosition="0">
        <references count="1">
          <reference field="2" count="0"/>
        </references>
      </pivotArea>
    </format>
    <format dxfId="1">
      <pivotArea dataOnly="0" labelOnly="1" grandRow="1" outline="0" fieldPosition="0"/>
    </format>
    <format dxfId="0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C163BA0-C12D-4282-B00F-9DEE842067C6}" name="PivotTable17" cacheId="0" applyNumberFormats="0" applyBorderFormats="0" applyFontFormats="0" applyPatternFormats="0" applyAlignmentFormats="0" applyWidthHeightFormats="1" dataCaption="Values" updatedVersion="6" minRefreshableVersion="3" itemPrintTitles="1" createdVersion="6" indent="0" outline="1" outlineData="1" multipleFieldFilters="0">
  <location ref="R21:S27" firstHeaderRow="1" firstDataRow="1" firstDataCol="1"/>
  <pivotFields count="29">
    <pivotField numFmtId="169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numFmtId="1" showAll="0">
      <items count="6">
        <item x="0"/>
        <item x="1"/>
        <item x="2"/>
        <item x="3"/>
        <item x="4"/>
        <item t="default"/>
      </items>
    </pivotField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showAll="0">
      <items count="10">
        <item sd="0" x="0"/>
        <item sd="0" x="1"/>
        <item sd="0" x="2"/>
        <item sd="0" x="3"/>
        <item sd="0" x="4"/>
        <item sd="0" x="5"/>
        <item sd="0" x="6"/>
        <item sd="0" x="7"/>
        <item sd="0" x="8"/>
        <item t="default"/>
      </items>
    </pivotField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Sum of Merch" fld="5" baseField="0" baseItem="0" numFmtId="166"/>
  </dataFields>
  <formats count="2">
    <format dxfId="83">
      <pivotArea outline="0" collapsedLevelsAreSubtotals="1" fieldPosition="0"/>
    </format>
    <format dxfId="82">
      <pivotArea outline="0" fieldPosition="0">
        <references count="1">
          <reference field="4294967294" count="1">
            <x v="0"/>
          </reference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03FBD7E-82CE-404C-9255-773961FC4239}" name="PivotTable21" cacheId="0" applyNumberFormats="0" applyBorderFormats="0" applyFontFormats="0" applyPatternFormats="0" applyAlignmentFormats="0" applyWidthHeightFormats="1" dataCaption="Values" updatedVersion="6" minRefreshableVersion="3" itemPrintTitles="1" createdVersion="6" indent="0" outline="1" outlineData="1" multipleFieldFilters="0">
  <location ref="G14:I19" firstHeaderRow="0" firstDataRow="1" firstDataCol="1"/>
  <pivotFields count="29">
    <pivotField numFmtId="169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numFmtId="1" showAll="0">
      <items count="6">
        <item x="0"/>
        <item x="1"/>
        <item x="2"/>
        <item x="3"/>
        <item x="4"/>
        <item t="default"/>
      </items>
    </pivotField>
    <pivotField axis="axisRow" showAll="0">
      <items count="6">
        <item x="0"/>
        <item x="1"/>
        <item m="1" x="4"/>
        <item x="2"/>
        <item x="3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showAll="0">
      <items count="10">
        <item sd="0" x="0"/>
        <item sd="0" x="1"/>
        <item sd="0" x="2"/>
        <item sd="0" x="3"/>
        <item sd="0" x="4"/>
        <item sd="0" x="5"/>
        <item sd="0" x="6"/>
        <item sd="0" x="7"/>
        <item sd="0" x="8"/>
        <item t="default"/>
      </items>
    </pivotField>
  </pivotFields>
  <rowFields count="1">
    <field x="2"/>
  </rowFields>
  <rowItems count="5">
    <i>
      <x/>
    </i>
    <i>
      <x v="1"/>
    </i>
    <i>
      <x v="3"/>
    </i>
    <i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Average of Visitors" fld="3" subtotal="average" baseField="1" baseItem="0" numFmtId="1"/>
    <dataField name="Average of Total Sales" fld="17" subtotal="average" baseField="1" baseItem="0"/>
  </dataFields>
  <formats count="7">
    <format dxfId="90">
      <pivotArea outline="0" collapsedLevelsAreSubtotals="1" fieldPosition="0"/>
    </format>
    <format dxfId="89">
      <pivotArea outline="0" fieldPosition="0">
        <references count="1">
          <reference field="4294967294" count="1">
            <x v="0"/>
          </reference>
        </references>
      </pivotArea>
    </format>
    <format dxfId="88">
      <pivotArea type="all" dataOnly="0" outline="0" fieldPosition="0"/>
    </format>
    <format dxfId="87">
      <pivotArea outline="0" collapsedLevelsAreSubtotals="1" fieldPosition="0"/>
    </format>
    <format dxfId="86">
      <pivotArea field="1" type="button" dataOnly="0" labelOnly="1" outline="0"/>
    </format>
    <format dxfId="85">
      <pivotArea dataOnly="0" labelOnly="1" grandRow="1" outline="0" fieldPosition="0"/>
    </format>
    <format dxfId="8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9A97E4C-5EB5-403C-BF87-4566EAD544D9}" name="PivotTable16" cacheId="0" applyNumberFormats="0" applyBorderFormats="0" applyFontFormats="0" applyPatternFormats="0" applyAlignmentFormats="0" applyWidthHeightFormats="1" dataCaption="Values" updatedVersion="6" minRefreshableVersion="3" itemPrintTitles="1" createdVersion="6" indent="0" outline="1" outlineData="1" multipleFieldFilters="0">
  <location ref="S12:U18" firstHeaderRow="0" firstDataRow="1" firstDataCol="1"/>
  <pivotFields count="29">
    <pivotField numFmtId="169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numFmtId="1" showAll="0">
      <items count="6">
        <item x="0"/>
        <item x="1"/>
        <item x="2"/>
        <item x="3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showAll="0">
      <items count="10">
        <item sd="0" x="0"/>
        <item sd="0" x="1"/>
        <item sd="0" x="2"/>
        <item sd="0" x="3"/>
        <item sd="0" x="4"/>
        <item sd="0" x="5"/>
        <item sd="0" x="6"/>
        <item sd="0" x="7"/>
        <item sd="0" x="8"/>
        <item t="default"/>
      </items>
    </pivotField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Total Sales" fld="17" baseField="0" baseItem="0" numFmtId="166"/>
    <dataField name="Sum of HUB" fld="21" baseField="0" baseItem="0"/>
  </dataFields>
  <formats count="14">
    <format dxfId="21">
      <pivotArea outline="0" collapsedLevelsAreSubtotals="1" fieldPosition="0"/>
    </format>
    <format dxfId="20">
      <pivotArea outline="0" fieldPosition="0">
        <references count="1">
          <reference field="4294967294" count="1">
            <x v="0"/>
          </reference>
        </references>
      </pivotArea>
    </format>
    <format dxfId="19">
      <pivotArea collapsedLevelsAreSubtotals="1" fieldPosition="0">
        <references count="2">
          <reference field="4294967294" count="1" selected="0">
            <x v="1"/>
          </reference>
          <reference field="1" count="2">
            <x v="3"/>
            <x v="4"/>
          </reference>
        </references>
      </pivotArea>
    </format>
    <format dxfId="18">
      <pivotArea field="1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17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6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5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4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3">
      <pivotArea type="all" dataOnly="0" outline="0" fieldPosition="0"/>
    </format>
    <format dxfId="12">
      <pivotArea outline="0" collapsedLevelsAreSubtotals="1" fieldPosition="0"/>
    </format>
    <format dxfId="11">
      <pivotArea field="1" type="button" dataOnly="0" labelOnly="1" outline="0" axis="axisRow" fieldPosition="0"/>
    </format>
    <format dxfId="10">
      <pivotArea dataOnly="0" labelOnly="1" fieldPosition="0">
        <references count="1">
          <reference field="1" count="0"/>
        </references>
      </pivotArea>
    </format>
    <format dxfId="9">
      <pivotArea dataOnly="0" labelOnly="1" grandRow="1" outline="0" fieldPosition="0"/>
    </format>
    <format dxfId="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EE28544-9BF6-467C-8E8E-A3970F966317}" name="PivotTable5" cacheId="0" applyNumberFormats="0" applyBorderFormats="0" applyFontFormats="0" applyPatternFormats="0" applyAlignmentFormats="0" applyWidthHeightFormats="1" dataCaption="Values" updatedVersion="6" minRefreshableVersion="3" itemPrintTitles="1" createdVersion="6" indent="0" outline="1" outlineData="1" multipleFieldFilters="0">
  <location ref="A3:D9" firstHeaderRow="0" firstDataRow="1" firstDataCol="1"/>
  <pivotFields count="29">
    <pivotField numFmtId="169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numFmtId="1" showAll="0">
      <items count="6">
        <item x="0"/>
        <item x="1"/>
        <item x="2"/>
        <item x="3"/>
        <item x="4"/>
        <item t="default"/>
      </items>
    </pivotField>
    <pivotField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showAll="0">
      <items count="10">
        <item sd="0" x="0"/>
        <item sd="0" x="1"/>
        <item sd="0" x="2"/>
        <item sd="0" x="3"/>
        <item sd="0" x="4"/>
        <item sd="0" x="5"/>
        <item sd="0" x="6"/>
        <item sd="0" x="7"/>
        <item sd="0" x="8"/>
        <item t="default"/>
      </items>
    </pivotField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Visitors" fld="3" baseField="1" baseItem="0" numFmtId="1"/>
    <dataField name="refresh" fld="4" baseField="1" baseItem="0"/>
    <dataField name="Sum of Total Sales" fld="17" baseField="0" baseItem="0" numFmtId="166"/>
  </dataFields>
  <formats count="8">
    <format dxfId="29">
      <pivotArea outline="0" collapsedLevelsAreSubtotals="1" fieldPosition="0"/>
    </format>
    <format dxfId="28">
      <pivotArea outline="0" fieldPosition="0">
        <references count="1">
          <reference field="4294967294" count="1">
            <x v="2"/>
          </reference>
        </references>
      </pivotArea>
    </format>
    <format dxfId="27">
      <pivotArea type="all" dataOnly="0" outline="0" fieldPosition="0"/>
    </format>
    <format dxfId="26">
      <pivotArea outline="0" collapsedLevelsAreSubtotals="1" fieldPosition="0"/>
    </format>
    <format dxfId="25">
      <pivotArea field="1" type="button" dataOnly="0" labelOnly="1" outline="0" axis="axisRow" fieldPosition="0"/>
    </format>
    <format dxfId="24">
      <pivotArea dataOnly="0" labelOnly="1" fieldPosition="0">
        <references count="1">
          <reference field="1" count="0"/>
        </references>
      </pivotArea>
    </format>
    <format dxfId="23">
      <pivotArea dataOnly="0" labelOnly="1" grandRow="1" outline="0" fieldPosition="0"/>
    </format>
    <format dxfId="2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8CCC61E-0F23-4B71-B23D-5E2A94330151}" name="PivotTable22" cacheId="0" applyNumberFormats="0" applyBorderFormats="0" applyFontFormats="0" applyPatternFormats="0" applyAlignmentFormats="0" applyWidthHeightFormats="1" dataCaption="Values" updatedVersion="6" minRefreshableVersion="3" itemPrintTitles="1" createdVersion="6" indent="0" outline="1" outlineData="1" multipleFieldFilters="0">
  <location ref="L14:N19" firstHeaderRow="0" firstDataRow="1" firstDataCol="1"/>
  <pivotFields count="29">
    <pivotField numFmtId="169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numFmtId="1" showAll="0">
      <items count="6">
        <item x="0"/>
        <item x="1"/>
        <item x="2"/>
        <item x="3"/>
        <item x="4"/>
        <item t="default"/>
      </items>
    </pivotField>
    <pivotField axis="axisRow" showAll="0">
      <items count="6">
        <item x="0"/>
        <item x="1"/>
        <item m="1" x="4"/>
        <item x="2"/>
        <item x="3"/>
        <item t="default"/>
      </items>
    </pivotField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showAll="0">
      <items count="10">
        <item sd="0" x="0"/>
        <item sd="0" x="1"/>
        <item sd="0" x="2"/>
        <item sd="0" x="3"/>
        <item sd="0" x="4"/>
        <item sd="0" x="5"/>
        <item sd="0" x="6"/>
        <item sd="0" x="7"/>
        <item sd="0" x="8"/>
        <item t="default"/>
      </items>
    </pivotField>
  </pivotFields>
  <rowFields count="1">
    <field x="2"/>
  </rowFields>
  <rowItems count="5">
    <i>
      <x/>
    </i>
    <i>
      <x v="1"/>
    </i>
    <i>
      <x v="3"/>
    </i>
    <i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Average of Vendors" fld="4" subtotal="average" baseField="1" baseItem="0" numFmtId="1"/>
    <dataField name="Average of Total Sales" fld="17" subtotal="average" baseField="1" baseItem="0"/>
  </dataFields>
  <formats count="11">
    <format dxfId="40">
      <pivotArea outline="0" collapsedLevelsAreSubtotals="1" fieldPosition="0"/>
    </format>
    <format dxfId="39">
      <pivotArea type="all" dataOnly="0" outline="0" fieldPosition="0"/>
    </format>
    <format dxfId="38">
      <pivotArea outline="0" collapsedLevelsAreSubtotals="1" fieldPosition="0"/>
    </format>
    <format dxfId="37">
      <pivotArea field="1" type="button" dataOnly="0" labelOnly="1" outline="0"/>
    </format>
    <format dxfId="36">
      <pivotArea dataOnly="0" labelOnly="1" grandRow="1" outline="0" fieldPosition="0"/>
    </format>
    <format dxfId="35">
      <pivotArea outline="0" fieldPosition="0">
        <references count="1">
          <reference field="4294967294" count="1">
            <x v="0"/>
          </reference>
        </references>
      </pivotArea>
    </format>
    <format dxfId="34">
      <pivotArea type="all" dataOnly="0" outline="0" fieldPosition="0"/>
    </format>
    <format dxfId="33">
      <pivotArea outline="0" collapsedLevelsAreSubtotals="1" fieldPosition="0"/>
    </format>
    <format dxfId="32">
      <pivotArea field="1" type="button" dataOnly="0" labelOnly="1" outline="0"/>
    </format>
    <format dxfId="31">
      <pivotArea dataOnly="0" labelOnly="1" grandRow="1" outline="0" fieldPosition="0"/>
    </format>
    <format dxfId="3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B2FF3E1-8604-4AE5-89C9-800CAD4A6166}" name="PivotTable20" cacheId="0" applyNumberFormats="0" applyBorderFormats="0" applyFontFormats="0" applyPatternFormats="0" applyAlignmentFormats="0" applyWidthHeightFormats="1" dataCaption="Values" updatedVersion="6" minRefreshableVersion="3" itemPrintTitles="1" createdVersion="6" indent="0" outline="1" outlineData="1" multipleFieldFilters="0">
  <location ref="L3:N9" firstHeaderRow="0" firstDataRow="1" firstDataCol="1"/>
  <pivotFields count="29">
    <pivotField numFmtId="169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numFmtId="1" showAll="0">
      <items count="6">
        <item x="0"/>
        <item x="1"/>
        <item x="2"/>
        <item x="3"/>
        <item x="4"/>
        <item t="default"/>
      </items>
    </pivotField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showAll="0">
      <items count="10">
        <item sd="0" x="0"/>
        <item sd="0" x="1"/>
        <item sd="0" x="2"/>
        <item sd="0" x="3"/>
        <item sd="0" x="4"/>
        <item sd="0" x="5"/>
        <item sd="0" x="6"/>
        <item sd="0" x="7"/>
        <item sd="0" x="8"/>
        <item t="default"/>
      </items>
    </pivotField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Average of Vendors" fld="4" subtotal="average" baseField="1" baseItem="0" numFmtId="1"/>
    <dataField name="Average of Total Sales" fld="17" subtotal="average" baseField="1" baseItem="0"/>
  </dataFields>
  <formats count="16">
    <format dxfId="56">
      <pivotArea outline="0" collapsedLevelsAreSubtotals="1" fieldPosition="0"/>
    </format>
    <format dxfId="55">
      <pivotArea type="all" dataOnly="0" outline="0" fieldPosition="0"/>
    </format>
    <format dxfId="54">
      <pivotArea outline="0" collapsedLevelsAreSubtotals="1" fieldPosition="0"/>
    </format>
    <format dxfId="53">
      <pivotArea field="1" type="button" dataOnly="0" labelOnly="1" outline="0" axis="axisRow" fieldPosition="0"/>
    </format>
    <format dxfId="52">
      <pivotArea dataOnly="0" labelOnly="1" fieldPosition="0">
        <references count="1">
          <reference field="1" count="0"/>
        </references>
      </pivotArea>
    </format>
    <format dxfId="51">
      <pivotArea dataOnly="0" labelOnly="1" grandRow="1" outline="0" fieldPosition="0"/>
    </format>
    <format dxfId="50">
      <pivotArea outline="0" fieldPosition="0">
        <references count="1">
          <reference field="4294967294" count="1">
            <x v="0"/>
          </reference>
        </references>
      </pivotArea>
    </format>
    <format dxfId="49">
      <pivotArea type="all" dataOnly="0" outline="0" fieldPosition="0"/>
    </format>
    <format dxfId="48">
      <pivotArea outline="0" collapsedLevelsAreSubtotals="1" fieldPosition="0"/>
    </format>
    <format dxfId="47">
      <pivotArea field="1" type="button" dataOnly="0" labelOnly="1" outline="0" axis="axisRow" fieldPosition="0"/>
    </format>
    <format dxfId="46">
      <pivotArea dataOnly="0" labelOnly="1" fieldPosition="0">
        <references count="1">
          <reference field="1" count="0"/>
        </references>
      </pivotArea>
    </format>
    <format dxfId="45">
      <pivotArea dataOnly="0" labelOnly="1" grandRow="1" outline="0" fieldPosition="0"/>
    </format>
    <format dxfId="4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3">
      <pivotArea outline="0" collapsedLevelsAreSubtotals="1" fieldPosition="0"/>
    </format>
    <format dxfId="42">
      <pivotArea dataOnly="0" labelOnly="1" fieldPosition="0">
        <references count="1">
          <reference field="1" count="0"/>
        </references>
      </pivotArea>
    </format>
    <format dxfId="41">
      <pivotArea dataOnly="0" labelOnly="1" grandRow="1" outline="0" fieldPosition="0"/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64E2F07-2757-4FFC-B5B5-0FFF1516952F}" name="PivotTable8" cacheId="0" applyNumberFormats="0" applyBorderFormats="0" applyFontFormats="0" applyPatternFormats="0" applyAlignmentFormats="0" applyWidthHeightFormats="1" dataCaption="Values" updatedVersion="6" minRefreshableVersion="3" itemPrintTitles="1" createdVersion="6" indent="0" outline="1" outlineData="1" multipleFieldFilters="0">
  <location ref="A14:D19" firstHeaderRow="0" firstDataRow="1" firstDataCol="1"/>
  <pivotFields count="29">
    <pivotField numFmtId="169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numFmtId="1" showAll="0"/>
    <pivotField axis="axisRow" showAll="0">
      <items count="6">
        <item x="0"/>
        <item x="1"/>
        <item m="1" x="4"/>
        <item x="2"/>
        <item x="3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showAll="0">
      <items count="10">
        <item sd="0" x="0"/>
        <item sd="0" x="1"/>
        <item sd="0" x="2"/>
        <item sd="0" x="3"/>
        <item sd="0" x="4"/>
        <item sd="0" x="5"/>
        <item sd="0" x="6"/>
        <item sd="0" x="7"/>
        <item sd="0" x="8"/>
        <item t="default"/>
      </items>
    </pivotField>
  </pivotFields>
  <rowFields count="1">
    <field x="2"/>
  </rowFields>
  <rowItems count="5">
    <i>
      <x/>
    </i>
    <i>
      <x v="1"/>
    </i>
    <i>
      <x v="3"/>
    </i>
    <i>
      <x v="4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Visitors" fld="3" baseField="2" baseItem="0" numFmtId="1"/>
    <dataField name="Sum of Vendors" fld="4" baseField="2" baseItem="0"/>
    <dataField name="Sum of Total Sales" fld="17" baseField="0" baseItem="0" numFmtId="166"/>
  </dataFields>
  <formats count="8">
    <format dxfId="64">
      <pivotArea outline="0" collapsedLevelsAreSubtotals="1" fieldPosition="0"/>
    </format>
    <format dxfId="63">
      <pivotArea outline="0" fieldPosition="0">
        <references count="1">
          <reference field="4294967294" count="1">
            <x v="2"/>
          </reference>
        </references>
      </pivotArea>
    </format>
    <format dxfId="62">
      <pivotArea type="all" dataOnly="0" outline="0" fieldPosition="0"/>
    </format>
    <format dxfId="61">
      <pivotArea outline="0" collapsedLevelsAreSubtotals="1" fieldPosition="0"/>
    </format>
    <format dxfId="60">
      <pivotArea field="2" type="button" dataOnly="0" labelOnly="1" outline="0" axis="axisRow" fieldPosition="0"/>
    </format>
    <format dxfId="59">
      <pivotArea dataOnly="0" labelOnly="1" fieldPosition="0">
        <references count="1">
          <reference field="2" count="0"/>
        </references>
      </pivotArea>
    </format>
    <format dxfId="58">
      <pivotArea dataOnly="0" labelOnly="1" grandRow="1" outline="0" fieldPosition="0"/>
    </format>
    <format dxfId="5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BFCE899-2839-4B37-9AB6-65CBB42E4B72}" name="PivotTable19" cacheId="0" applyNumberFormats="0" applyBorderFormats="0" applyFontFormats="0" applyPatternFormats="0" applyAlignmentFormats="0" applyWidthHeightFormats="1" dataCaption="Values" updatedVersion="6" minRefreshableVersion="3" itemPrintTitles="1" createdVersion="6" indent="0" outline="1" outlineData="1" multipleFieldFilters="0">
  <location ref="G3:I9" firstHeaderRow="0" firstDataRow="1" firstDataCol="1"/>
  <pivotFields count="29">
    <pivotField numFmtId="169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numFmtId="1" showAll="0">
      <items count="6">
        <item x="0"/>
        <item x="1"/>
        <item x="2"/>
        <item x="3"/>
        <item x="4"/>
        <item t="default"/>
      </items>
    </pivotField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showAll="0">
      <items count="10">
        <item sd="0" x="0"/>
        <item sd="0" x="1"/>
        <item sd="0" x="2"/>
        <item sd="0" x="3"/>
        <item sd="0" x="4"/>
        <item sd="0" x="5"/>
        <item sd="0" x="6"/>
        <item sd="0" x="7"/>
        <item sd="0" x="8"/>
        <item t="default"/>
      </items>
    </pivotField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Average of Visitors" fld="3" subtotal="average" baseField="1" baseItem="0" numFmtId="1"/>
    <dataField name="Average of Total Sales" fld="17" subtotal="average" baseField="1" baseItem="0"/>
  </dataFields>
  <formats count="8">
    <format dxfId="72">
      <pivotArea outline="0" collapsedLevelsAreSubtotals="1" fieldPosition="0"/>
    </format>
    <format dxfId="71">
      <pivotArea outline="0" fieldPosition="0">
        <references count="1">
          <reference field="4294967294" count="1">
            <x v="0"/>
          </reference>
        </references>
      </pivotArea>
    </format>
    <format dxfId="70">
      <pivotArea type="all" dataOnly="0" outline="0" fieldPosition="0"/>
    </format>
    <format dxfId="69">
      <pivotArea outline="0" collapsedLevelsAreSubtotals="1" fieldPosition="0"/>
    </format>
    <format dxfId="68">
      <pivotArea field="1" type="button" dataOnly="0" labelOnly="1" outline="0" axis="axisRow" fieldPosition="0"/>
    </format>
    <format dxfId="67">
      <pivotArea dataOnly="0" labelOnly="1" fieldPosition="0">
        <references count="1">
          <reference field="1" count="0"/>
        </references>
      </pivotArea>
    </format>
    <format dxfId="66">
      <pivotArea dataOnly="0" labelOnly="1" grandRow="1" outline="0" fieldPosition="0"/>
    </format>
    <format dxfId="6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3A060C2-05FB-4F27-9031-327796943BEE}" name="PivotTable24" cacheId="0" applyNumberFormats="0" applyBorderFormats="0" applyFontFormats="0" applyPatternFormats="0" applyAlignmentFormats="0" applyWidthHeightFormats="1" dataCaption="Values" updatedVersion="6" minRefreshableVersion="3" itemPrintTitles="1" createdVersion="6" indent="0" outline="1" outlineData="1" multipleFieldFilters="0">
  <location ref="A23:D29" firstHeaderRow="0" firstDataRow="1" firstDataCol="1"/>
  <pivotFields count="29">
    <pivotField axis="axisRow" numFmtId="169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numFmtId="1" showAll="0"/>
    <pivotField showAll="0">
      <items count="6">
        <item x="0"/>
        <item x="1"/>
        <item m="1" x="4"/>
        <item x="2"/>
        <item x="3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Row" showAll="0">
      <items count="10">
        <item sd="0" x="0"/>
        <item sd="0" x="1"/>
        <item sd="0" x="2"/>
        <item sd="0" x="3"/>
        <item sd="0" x="4"/>
        <item sd="0" x="5"/>
        <item sd="0" x="6"/>
        <item sd="0" x="7"/>
        <item sd="0" x="8"/>
        <item t="default"/>
      </items>
    </pivotField>
  </pivotFields>
  <rowFields count="3">
    <field x="28"/>
    <field x="27"/>
    <field x="0"/>
  </rowFields>
  <rowItems count="6">
    <i>
      <x v="1"/>
    </i>
    <i>
      <x v="4"/>
    </i>
    <i>
      <x v="5"/>
    </i>
    <i>
      <x v="6"/>
    </i>
    <i>
      <x v="7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Visitors" fld="3" baseField="28" baseItem="1" numFmtId="1"/>
    <dataField name="Sum of Vendors" fld="4" baseField="28" baseItem="1"/>
    <dataField name="Sum of Total Sales" fld="17" baseField="28" baseItem="1" numFmtId="166"/>
  </dataFields>
  <formats count="7">
    <format dxfId="79">
      <pivotArea outline="0" collapsedLevelsAreSubtotals="1" fieldPosition="0"/>
    </format>
    <format dxfId="78">
      <pivotArea outline="0" fieldPosition="0">
        <references count="1">
          <reference field="4294967294" count="1">
            <x v="2"/>
          </reference>
        </references>
      </pivotArea>
    </format>
    <format dxfId="77">
      <pivotArea type="all" dataOnly="0" outline="0" fieldPosition="0"/>
    </format>
    <format dxfId="76">
      <pivotArea outline="0" collapsedLevelsAreSubtotals="1" fieldPosition="0"/>
    </format>
    <format dxfId="75">
      <pivotArea field="2" type="button" dataOnly="0" labelOnly="1" outline="0"/>
    </format>
    <format dxfId="74">
      <pivotArea dataOnly="0" labelOnly="1" grandRow="1" outline="0" fieldPosition="0"/>
    </format>
    <format dxfId="7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7E7A23C-CAAD-4B6C-BD7E-8C05C12FF309}" name="PivotTable18" cacheId="0" applyNumberFormats="0" applyBorderFormats="0" applyFontFormats="0" applyPatternFormats="0" applyAlignmentFormats="0" applyWidthHeightFormats="1" dataCaption="Values" updatedVersion="6" minRefreshableVersion="3" itemPrintTitles="1" createdVersion="6" indent="0" outline="1" outlineData="1" multipleFieldFilters="0">
  <location ref="U21:V26" firstHeaderRow="1" firstDataRow="1" firstDataCol="1"/>
  <pivotFields count="29">
    <pivotField numFmtId="169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numFmtId="1" showAll="0"/>
    <pivotField axis="axisRow" showAll="0">
      <items count="6">
        <item x="0"/>
        <item x="1"/>
        <item m="1" x="4"/>
        <item x="2"/>
        <item x="3"/>
        <item t="default"/>
      </items>
    </pivotField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showAll="0">
      <items count="10">
        <item sd="0" x="0"/>
        <item sd="0" x="1"/>
        <item sd="0" x="2"/>
        <item sd="0" x="3"/>
        <item sd="0" x="4"/>
        <item sd="0" x="5"/>
        <item sd="0" x="6"/>
        <item sd="0" x="7"/>
        <item sd="0" x="8"/>
        <item t="default"/>
      </items>
    </pivotField>
  </pivotFields>
  <rowFields count="1">
    <field x="2"/>
  </rowFields>
  <rowItems count="5">
    <i>
      <x/>
    </i>
    <i>
      <x v="1"/>
    </i>
    <i>
      <x v="3"/>
    </i>
    <i>
      <x v="4"/>
    </i>
    <i t="grand">
      <x/>
    </i>
  </rowItems>
  <colItems count="1">
    <i/>
  </colItems>
  <dataFields count="1">
    <dataField name="Sum of Merch" fld="5" baseField="0" baseItem="0" numFmtId="166"/>
  </dataFields>
  <formats count="2">
    <format dxfId="81">
      <pivotArea outline="0" collapsedLevelsAreSubtotals="1" fieldPosition="0"/>
    </format>
    <format dxfId="80">
      <pivotArea outline="0" fieldPosition="0">
        <references count="1">
          <reference field="4294967294" count="1">
            <x v="0"/>
          </reference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11" Type="http://schemas.openxmlformats.org/officeDocument/2006/relationships/pivotTable" Target="../pivotTables/pivotTable11.xml"/><Relationship Id="rId5" Type="http://schemas.openxmlformats.org/officeDocument/2006/relationships/pivotTable" Target="../pivotTables/pivotTable5.xml"/><Relationship Id="rId10" Type="http://schemas.openxmlformats.org/officeDocument/2006/relationships/pivotTable" Target="../pivotTables/pivotTable10.xml"/><Relationship Id="rId4" Type="http://schemas.openxmlformats.org/officeDocument/2006/relationships/pivotTable" Target="../pivotTables/pivotTable4.xml"/><Relationship Id="rId9" Type="http://schemas.openxmlformats.org/officeDocument/2006/relationships/pivotTable" Target="../pivotTables/pivotTable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AB688-9DF5-421E-ACB9-FEDFBEC47AB4}">
  <dimension ref="A1:F75"/>
  <sheetViews>
    <sheetView topLeftCell="A64" workbookViewId="0">
      <selection activeCell="F75" sqref="F75"/>
    </sheetView>
  </sheetViews>
  <sheetFormatPr baseColWidth="10" defaultColWidth="8.625" defaultRowHeight="16" x14ac:dyDescent="0.2"/>
  <cols>
    <col min="1" max="1" width="11.375" customWidth="1"/>
    <col min="2" max="2" width="11.5" customWidth="1"/>
    <col min="3" max="3" width="13.125" customWidth="1"/>
    <col min="5" max="5" width="11.625" customWidth="1"/>
  </cols>
  <sheetData>
    <row r="1" spans="1:4" ht="17" x14ac:dyDescent="0.2">
      <c r="A1" s="7"/>
      <c r="B1" s="200" t="str">
        <f>'Pivot Table'!F23</f>
        <v>Visitors/day</v>
      </c>
      <c r="C1" s="200" t="str">
        <f>'Pivot Table'!G23</f>
        <v>Vendors/day</v>
      </c>
      <c r="D1" s="200" t="str">
        <f>'Pivot Table'!H23</f>
        <v>Sales/day</v>
      </c>
    </row>
    <row r="2" spans="1:4" ht="17" x14ac:dyDescent="0.2">
      <c r="A2" t="str">
        <f>'Pivot Table'!A24</f>
        <v>2015</v>
      </c>
      <c r="B2" s="83">
        <f>'Pivot Table'!F24</f>
        <v>243</v>
      </c>
      <c r="C2" s="83">
        <f>'Pivot Table'!G24</f>
        <v>12.176470588235293</v>
      </c>
      <c r="D2" s="67">
        <f>'Pivot Table'!H24</f>
        <v>1180.6694117647062</v>
      </c>
    </row>
    <row r="3" spans="1:4" x14ac:dyDescent="0.2">
      <c r="A3" s="207">
        <v>2017</v>
      </c>
      <c r="B3" s="208">
        <v>215</v>
      </c>
      <c r="C3" s="208">
        <v>12</v>
      </c>
      <c r="D3" s="209">
        <v>2276</v>
      </c>
    </row>
    <row r="4" spans="1:4" ht="17" x14ac:dyDescent="0.2">
      <c r="A4" t="str">
        <f>'Pivot Table'!A25</f>
        <v>2018</v>
      </c>
      <c r="B4" s="83">
        <f>'Pivot Table'!F25</f>
        <v>291.05555555555554</v>
      </c>
      <c r="C4" s="83">
        <f>'Pivot Table'!G25</f>
        <v>13.388888888888889</v>
      </c>
      <c r="D4" s="67">
        <f>'Pivot Table'!H25</f>
        <v>2459.3016666666667</v>
      </c>
    </row>
    <row r="5" spans="1:4" ht="17" x14ac:dyDescent="0.2">
      <c r="A5" t="str">
        <f>'Pivot Table'!A26</f>
        <v>2019</v>
      </c>
      <c r="B5" s="83">
        <f>'Pivot Table'!F26</f>
        <v>244.38888888888889</v>
      </c>
      <c r="C5" s="83">
        <f>'Pivot Table'!G26</f>
        <v>12.111111111111111</v>
      </c>
      <c r="D5" s="67">
        <f>'Pivot Table'!H26</f>
        <v>2475.3777777777777</v>
      </c>
    </row>
    <row r="6" spans="1:4" ht="17" x14ac:dyDescent="0.2">
      <c r="A6" t="str">
        <f>'Pivot Table'!A27</f>
        <v>2020</v>
      </c>
      <c r="B6" s="83">
        <f>'Pivot Table'!F27</f>
        <v>167.26666666666668</v>
      </c>
      <c r="C6" s="83">
        <f>'Pivot Table'!G27</f>
        <v>7.2666666666666666</v>
      </c>
      <c r="D6" s="67">
        <f>'Pivot Table'!H27</f>
        <v>2015.81</v>
      </c>
    </row>
    <row r="7" spans="1:4" ht="17" x14ac:dyDescent="0.2">
      <c r="A7" t="str">
        <f>'Pivot Table'!A28</f>
        <v>2021</v>
      </c>
      <c r="B7" s="83">
        <f>'Pivot Table'!F28</f>
        <v>264.6875</v>
      </c>
      <c r="C7" s="83">
        <f>'Pivot Table'!G28</f>
        <v>9.8125</v>
      </c>
      <c r="D7" s="67">
        <f>'Pivot Table'!H28</f>
        <v>3293.5795062500001</v>
      </c>
    </row>
    <row r="8" spans="1:4" x14ac:dyDescent="0.2">
      <c r="B8" s="229">
        <f t="shared" ref="B8:C8" si="0">SUM(B2:B7)/6</f>
        <v>237.56643518518521</v>
      </c>
      <c r="C8" s="229">
        <f t="shared" si="0"/>
        <v>11.125939542483659</v>
      </c>
      <c r="D8" s="228">
        <f>SUM(D2:D7)/6</f>
        <v>2283.4563937431917</v>
      </c>
    </row>
    <row r="18" spans="1:4" ht="34" x14ac:dyDescent="0.2">
      <c r="B18" s="143" t="s">
        <v>91</v>
      </c>
      <c r="C18" s="84" t="str">
        <f>'Pivot Table'!O3</f>
        <v>Average sales/vendor</v>
      </c>
    </row>
    <row r="19" spans="1:4" x14ac:dyDescent="0.2">
      <c r="A19" s="182">
        <v>2015</v>
      </c>
      <c r="B19" s="184">
        <f>'Pivot Table'!J4</f>
        <v>4.8587218591140173</v>
      </c>
      <c r="C19" s="184">
        <f>'Pivot Table'!O4</f>
        <v>96.963188405797126</v>
      </c>
    </row>
    <row r="20" spans="1:4" x14ac:dyDescent="0.2">
      <c r="A20" s="203">
        <v>2017</v>
      </c>
      <c r="B20" s="204">
        <v>10</v>
      </c>
      <c r="C20" s="204">
        <v>187</v>
      </c>
    </row>
    <row r="21" spans="1:4" x14ac:dyDescent="0.2">
      <c r="A21" s="182">
        <v>2018</v>
      </c>
      <c r="B21" s="184">
        <f>'Pivot Table'!J5</f>
        <v>8.4495953426226382</v>
      </c>
      <c r="C21" s="184">
        <f>'Pivot Table'!O5</f>
        <v>183.68228215767635</v>
      </c>
    </row>
    <row r="22" spans="1:4" x14ac:dyDescent="0.2">
      <c r="A22" s="182">
        <v>2019</v>
      </c>
      <c r="B22" s="184">
        <f>'Pivot Table'!J6</f>
        <v>10.128847465333031</v>
      </c>
      <c r="C22" s="184">
        <f>'Pivot Table'!O6</f>
        <v>204.3889908256881</v>
      </c>
    </row>
    <row r="23" spans="1:4" x14ac:dyDescent="0.2">
      <c r="A23" s="182">
        <v>2020</v>
      </c>
      <c r="B23" s="184">
        <f>'Pivot Table'!J7</f>
        <v>12.051474691111997</v>
      </c>
      <c r="C23" s="184">
        <f>'Pivot Table'!O7</f>
        <v>277.40504587155959</v>
      </c>
    </row>
    <row r="24" spans="1:4" x14ac:dyDescent="0.2">
      <c r="A24" s="182">
        <v>2021</v>
      </c>
      <c r="B24" s="184">
        <f>'Pivot Table'!J8</f>
        <v>12.443275584415584</v>
      </c>
      <c r="C24" s="184">
        <f>'Pivot Table'!O8</f>
        <v>335.65141464968156</v>
      </c>
      <c r="D24" s="206"/>
    </row>
    <row r="26" spans="1:4" ht="34" x14ac:dyDescent="0.2">
      <c r="B26" s="143" t="s">
        <v>91</v>
      </c>
      <c r="C26" s="143" t="s">
        <v>93</v>
      </c>
    </row>
    <row r="27" spans="1:4" ht="17" x14ac:dyDescent="0.2">
      <c r="A27" s="185" t="s">
        <v>29</v>
      </c>
      <c r="B27" s="67">
        <f>'Pivot Table'!J15</f>
        <v>7.4390403433476404</v>
      </c>
      <c r="C27" s="67">
        <f>'Pivot Table'!O15</f>
        <v>177.5918442622951</v>
      </c>
    </row>
    <row r="28" spans="1:4" ht="17" x14ac:dyDescent="0.2">
      <c r="A28" s="185" t="s">
        <v>30</v>
      </c>
      <c r="B28" s="67">
        <f>'Pivot Table'!J16</f>
        <v>9.0124468275245757</v>
      </c>
      <c r="C28" s="67">
        <f>'Pivot Table'!O16</f>
        <v>208.36628099173552</v>
      </c>
    </row>
    <row r="29" spans="1:4" ht="17" x14ac:dyDescent="0.2">
      <c r="A29" s="185" t="s">
        <v>71</v>
      </c>
      <c r="B29" s="67">
        <f>'Pivot Table'!J17</f>
        <v>10.837074986580784</v>
      </c>
      <c r="C29" s="67">
        <f>'Pivot Table'!O17</f>
        <v>241.30841474103588</v>
      </c>
    </row>
    <row r="30" spans="1:4" ht="17" x14ac:dyDescent="0.2">
      <c r="A30" s="201" t="s">
        <v>32</v>
      </c>
      <c r="B30" s="67">
        <f>'Pivot Table'!J18</f>
        <v>10.703359018264839</v>
      </c>
      <c r="C30" s="67">
        <f>'Pivot Table'!O18</f>
        <v>192.33112820512821</v>
      </c>
    </row>
    <row r="31" spans="1:4" x14ac:dyDescent="0.2">
      <c r="A31" s="185"/>
      <c r="B31" s="67"/>
      <c r="C31" s="67"/>
    </row>
    <row r="32" spans="1:4" ht="34" x14ac:dyDescent="0.2">
      <c r="A32" s="202" t="s">
        <v>97</v>
      </c>
    </row>
    <row r="50" spans="1:4" ht="51" x14ac:dyDescent="0.2">
      <c r="A50" t="str">
        <f>'Pivot Table'!A23</f>
        <v>Row Labels</v>
      </c>
      <c r="B50" t="str">
        <f>'Pivot Table'!B23</f>
        <v>Sum of Visitors</v>
      </c>
      <c r="C50" t="str">
        <f>'Pivot Table'!C23</f>
        <v>Sum of Vendors</v>
      </c>
      <c r="D50" t="str">
        <f>'Pivot Table'!D23</f>
        <v>Sum of Total Sales</v>
      </c>
    </row>
    <row r="51" spans="1:4" ht="17" x14ac:dyDescent="0.2">
      <c r="A51" t="str">
        <f>'Pivot Table'!A24</f>
        <v>2015</v>
      </c>
      <c r="B51">
        <f>'Pivot Table'!B24</f>
        <v>4131</v>
      </c>
      <c r="C51">
        <f>'Pivot Table'!C24</f>
        <v>207</v>
      </c>
      <c r="D51" s="191">
        <f>'Pivot Table'!D24</f>
        <v>20071.380000000005</v>
      </c>
    </row>
    <row r="52" spans="1:4" x14ac:dyDescent="0.2">
      <c r="A52" s="215">
        <v>2017</v>
      </c>
      <c r="B52" s="215">
        <v>4084</v>
      </c>
      <c r="C52" s="215">
        <v>231</v>
      </c>
      <c r="D52" s="216">
        <v>43246</v>
      </c>
    </row>
    <row r="53" spans="1:4" ht="17" x14ac:dyDescent="0.2">
      <c r="A53" t="str">
        <f>'Pivot Table'!A25</f>
        <v>2018</v>
      </c>
      <c r="B53">
        <f>'Pivot Table'!B25</f>
        <v>5239</v>
      </c>
      <c r="C53">
        <f>'Pivot Table'!C25</f>
        <v>241</v>
      </c>
      <c r="D53" s="191">
        <f>'Pivot Table'!D25</f>
        <v>44267.43</v>
      </c>
    </row>
    <row r="54" spans="1:4" ht="17" x14ac:dyDescent="0.2">
      <c r="A54" t="str">
        <f>'Pivot Table'!A26</f>
        <v>2019</v>
      </c>
      <c r="B54">
        <f>'Pivot Table'!B26</f>
        <v>4399</v>
      </c>
      <c r="C54">
        <f>'Pivot Table'!C26</f>
        <v>218</v>
      </c>
      <c r="D54" s="191">
        <f>'Pivot Table'!D26</f>
        <v>44556.800000000003</v>
      </c>
    </row>
    <row r="55" spans="1:4" ht="17" x14ac:dyDescent="0.2">
      <c r="A55" t="str">
        <f>'Pivot Table'!A27</f>
        <v>2020</v>
      </c>
      <c r="B55">
        <f>'Pivot Table'!B27</f>
        <v>2509</v>
      </c>
      <c r="C55">
        <f>'Pivot Table'!C27</f>
        <v>109</v>
      </c>
      <c r="D55" s="191">
        <f>'Pivot Table'!D27</f>
        <v>30237.149999999998</v>
      </c>
    </row>
    <row r="56" spans="1:4" ht="17" x14ac:dyDescent="0.2">
      <c r="A56" t="str">
        <f>'Pivot Table'!A28</f>
        <v>2021</v>
      </c>
      <c r="B56">
        <f>'Pivot Table'!B28</f>
        <v>4235</v>
      </c>
      <c r="C56">
        <f>'Pivot Table'!C28</f>
        <v>157</v>
      </c>
      <c r="D56" s="191">
        <f>'Pivot Table'!D28</f>
        <v>52697.272100000002</v>
      </c>
    </row>
    <row r="65" spans="1:6" ht="17" x14ac:dyDescent="0.2">
      <c r="A65" s="240" t="s">
        <v>116</v>
      </c>
      <c r="B65" s="143" t="s">
        <v>112</v>
      </c>
      <c r="C65" s="143" t="s">
        <v>113</v>
      </c>
      <c r="E65" s="240" t="s">
        <v>122</v>
      </c>
      <c r="F65" s="143" t="s">
        <v>113</v>
      </c>
    </row>
    <row r="66" spans="1:6" ht="17" x14ac:dyDescent="0.2">
      <c r="A66" s="143" t="s">
        <v>1</v>
      </c>
      <c r="B66" s="241">
        <v>247</v>
      </c>
      <c r="C66" s="241">
        <v>20513</v>
      </c>
      <c r="E66" s="143" t="s">
        <v>1</v>
      </c>
      <c r="F66" s="241">
        <v>2980</v>
      </c>
    </row>
    <row r="67" spans="1:6" ht="17" x14ac:dyDescent="0.2">
      <c r="A67" s="143" t="s">
        <v>2</v>
      </c>
      <c r="B67" s="241">
        <v>11</v>
      </c>
      <c r="C67" s="241">
        <v>932</v>
      </c>
      <c r="E67" s="143" t="s">
        <v>2</v>
      </c>
      <c r="F67" s="241">
        <v>127</v>
      </c>
    </row>
    <row r="68" spans="1:6" ht="17" x14ac:dyDescent="0.2">
      <c r="A68" s="143" t="s">
        <v>114</v>
      </c>
      <c r="B68" s="242">
        <v>2284</v>
      </c>
      <c r="C68" s="243">
        <v>191830.03209999992</v>
      </c>
      <c r="E68" s="143" t="s">
        <v>114</v>
      </c>
      <c r="F68" s="243">
        <v>39151</v>
      </c>
    </row>
    <row r="69" spans="1:6" ht="17" x14ac:dyDescent="0.2">
      <c r="A69" s="143" t="s">
        <v>115</v>
      </c>
      <c r="B69" s="241"/>
      <c r="C69" s="241">
        <v>84</v>
      </c>
      <c r="E69" s="143" t="s">
        <v>125</v>
      </c>
      <c r="F69" s="241">
        <v>9</v>
      </c>
    </row>
    <row r="71" spans="1:6" ht="17" x14ac:dyDescent="0.2">
      <c r="A71" s="7" t="s">
        <v>117</v>
      </c>
      <c r="B71" s="83">
        <f>C66/C69</f>
        <v>244.20238095238096</v>
      </c>
      <c r="E71" s="7" t="s">
        <v>117</v>
      </c>
      <c r="F71" s="83">
        <f>F66/F69</f>
        <v>331.11111111111109</v>
      </c>
    </row>
    <row r="72" spans="1:6" ht="17" x14ac:dyDescent="0.2">
      <c r="A72" s="7" t="s">
        <v>118</v>
      </c>
      <c r="B72" s="83">
        <f>C67/C69</f>
        <v>11.095238095238095</v>
      </c>
      <c r="E72" s="7" t="s">
        <v>118</v>
      </c>
      <c r="F72" s="83">
        <f>F67/F69</f>
        <v>14.111111111111111</v>
      </c>
    </row>
    <row r="73" spans="1:6" ht="17" x14ac:dyDescent="0.2">
      <c r="A73" s="7" t="s">
        <v>119</v>
      </c>
      <c r="B73" s="228">
        <f>C68/C69</f>
        <v>2283.6908583333325</v>
      </c>
      <c r="E73" s="7" t="s">
        <v>119</v>
      </c>
      <c r="F73" s="228">
        <f>F68/F69</f>
        <v>4350.1111111111113</v>
      </c>
    </row>
    <row r="74" spans="1:6" ht="51" x14ac:dyDescent="0.2">
      <c r="A74" s="7" t="s">
        <v>120</v>
      </c>
      <c r="B74" s="228">
        <f>C68/C66</f>
        <v>9.3516322380929129</v>
      </c>
      <c r="E74" s="7" t="s">
        <v>120</v>
      </c>
      <c r="F74" s="228">
        <f>F68/F66</f>
        <v>13.137919463087249</v>
      </c>
    </row>
    <row r="75" spans="1:6" ht="34" x14ac:dyDescent="0.2">
      <c r="A75" s="7" t="s">
        <v>121</v>
      </c>
      <c r="B75" s="228">
        <f>C68/C67</f>
        <v>205.82621469957073</v>
      </c>
      <c r="E75" s="7" t="s">
        <v>121</v>
      </c>
      <c r="F75" s="228">
        <f>F68/F67</f>
        <v>308.2755905511811</v>
      </c>
    </row>
  </sheetData>
  <pageMargins left="0.7" right="0.7" top="0.75" bottom="0.75" header="0.3" footer="0.3"/>
  <pageSetup orientation="landscape" horizontalDpi="0" verticalDpi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40245-9674-4D08-BCBE-F7BACBB57871}">
  <dimension ref="A1:AB11"/>
  <sheetViews>
    <sheetView topLeftCell="F1" workbookViewId="0">
      <selection activeCell="Q11" sqref="Q11"/>
    </sheetView>
  </sheetViews>
  <sheetFormatPr baseColWidth="10" defaultColWidth="8.625" defaultRowHeight="16" x14ac:dyDescent="0.2"/>
  <cols>
    <col min="1" max="1" width="15.25" customWidth="1"/>
  </cols>
  <sheetData>
    <row r="1" spans="1:28" ht="32" x14ac:dyDescent="0.2">
      <c r="A1" s="221" t="s">
        <v>0</v>
      </c>
      <c r="B1" s="161" t="s">
        <v>80</v>
      </c>
      <c r="C1" s="148" t="s">
        <v>28</v>
      </c>
      <c r="D1" s="149" t="s">
        <v>1</v>
      </c>
      <c r="E1" s="149" t="s">
        <v>2</v>
      </c>
      <c r="F1" s="149" t="s">
        <v>3</v>
      </c>
      <c r="G1" s="149" t="s">
        <v>68</v>
      </c>
      <c r="H1" s="149" t="s">
        <v>50</v>
      </c>
      <c r="I1" s="149" t="s">
        <v>67</v>
      </c>
      <c r="J1" s="150" t="s">
        <v>4</v>
      </c>
      <c r="K1" s="150" t="s">
        <v>5</v>
      </c>
      <c r="L1" s="149" t="s">
        <v>66</v>
      </c>
      <c r="M1" s="150" t="s">
        <v>6</v>
      </c>
      <c r="N1" s="149" t="s">
        <v>7</v>
      </c>
      <c r="O1" s="149" t="s">
        <v>49</v>
      </c>
      <c r="P1" s="149" t="s">
        <v>8</v>
      </c>
      <c r="Q1" s="149" t="s">
        <v>65</v>
      </c>
      <c r="R1" s="151" t="s">
        <v>9</v>
      </c>
      <c r="S1" s="152" t="s">
        <v>10</v>
      </c>
      <c r="T1" s="152" t="s">
        <v>11</v>
      </c>
      <c r="U1" s="152" t="s">
        <v>12</v>
      </c>
      <c r="V1" s="149" t="s">
        <v>14</v>
      </c>
      <c r="W1" s="149" t="s">
        <v>15</v>
      </c>
      <c r="X1" s="149" t="s">
        <v>53</v>
      </c>
      <c r="Y1" s="153" t="s">
        <v>74</v>
      </c>
      <c r="Z1" s="153" t="s">
        <v>75</v>
      </c>
      <c r="AA1" s="153" t="s">
        <v>16</v>
      </c>
      <c r="AB1" s="146" t="s">
        <v>109</v>
      </c>
    </row>
    <row r="2" spans="1:28" ht="32" x14ac:dyDescent="0.2">
      <c r="A2" s="222">
        <v>43309</v>
      </c>
      <c r="B2" s="159">
        <v>2018</v>
      </c>
      <c r="C2" s="146" t="s">
        <v>30</v>
      </c>
      <c r="D2" s="154">
        <v>396</v>
      </c>
      <c r="E2" s="159">
        <v>17</v>
      </c>
      <c r="F2" s="146"/>
      <c r="G2" s="154">
        <v>17</v>
      </c>
      <c r="H2" s="146"/>
      <c r="I2" s="146"/>
      <c r="J2" s="157">
        <v>450</v>
      </c>
      <c r="K2" s="157">
        <v>2241.1999999999998</v>
      </c>
      <c r="L2" s="146"/>
      <c r="M2" s="157">
        <v>0</v>
      </c>
      <c r="N2" s="157">
        <v>48</v>
      </c>
      <c r="O2" s="157">
        <v>68</v>
      </c>
      <c r="P2" s="157">
        <v>289</v>
      </c>
      <c r="Q2" s="146"/>
      <c r="R2" s="162">
        <f>SUM(J2:P2)</f>
        <v>3096.2</v>
      </c>
      <c r="S2" s="51">
        <f t="shared" ref="S2:S7" si="0">SUM(J2+K2+M2+N2+O2)/R2</f>
        <v>0.90665977650022611</v>
      </c>
      <c r="T2" s="51">
        <f>SUM(M2+N2)/R2</f>
        <v>1.5502874491311932E-2</v>
      </c>
      <c r="U2" s="51">
        <f>P2/R2</f>
        <v>9.3340223499773917E-2</v>
      </c>
      <c r="V2" s="147"/>
      <c r="W2" s="146"/>
      <c r="X2" s="146"/>
      <c r="Y2" s="157">
        <f t="shared" ref="Y2:Y10" si="1">R2/D2</f>
        <v>7.8186868686868678</v>
      </c>
      <c r="Z2" s="158">
        <f t="shared" ref="Z2:Z10" si="2">R2/E2</f>
        <v>182.12941176470588</v>
      </c>
      <c r="AA2" s="147" t="s">
        <v>40</v>
      </c>
      <c r="AB2" s="146" t="s">
        <v>110</v>
      </c>
    </row>
    <row r="3" spans="1:28" ht="32" x14ac:dyDescent="0.2">
      <c r="A3" s="222">
        <v>43330</v>
      </c>
      <c r="B3" s="159">
        <v>2018</v>
      </c>
      <c r="C3" s="146" t="s">
        <v>31</v>
      </c>
      <c r="D3" s="159">
        <v>440</v>
      </c>
      <c r="E3" s="159">
        <v>20</v>
      </c>
      <c r="F3" s="146"/>
      <c r="G3" s="159">
        <v>20</v>
      </c>
      <c r="H3" s="146"/>
      <c r="I3" s="146"/>
      <c r="J3" s="157">
        <v>597</v>
      </c>
      <c r="K3" s="157">
        <v>4297.72</v>
      </c>
      <c r="L3" s="146"/>
      <c r="M3" s="157">
        <v>0</v>
      </c>
      <c r="N3" s="157">
        <v>64</v>
      </c>
      <c r="O3" s="157">
        <v>48</v>
      </c>
      <c r="P3" s="157">
        <v>747.5</v>
      </c>
      <c r="Q3" s="146"/>
      <c r="R3" s="162">
        <f>SUM(J3:P3)</f>
        <v>5754.22</v>
      </c>
      <c r="S3" s="51">
        <f t="shared" si="0"/>
        <v>0.87009533872531808</v>
      </c>
      <c r="T3" s="51">
        <f>SUM(M3+N3)/R3</f>
        <v>1.112227200211323E-2</v>
      </c>
      <c r="U3" s="51">
        <f>P3/R3</f>
        <v>0.12990466127468189</v>
      </c>
      <c r="V3" s="147"/>
      <c r="W3" s="146"/>
      <c r="X3" s="146"/>
      <c r="Y3" s="157">
        <f t="shared" si="1"/>
        <v>13.077772727272729</v>
      </c>
      <c r="Z3" s="158">
        <f t="shared" si="2"/>
        <v>287.71100000000001</v>
      </c>
      <c r="AA3" s="147" t="s">
        <v>38</v>
      </c>
      <c r="AB3" s="146" t="s">
        <v>110</v>
      </c>
    </row>
    <row r="4" spans="1:28" ht="48" x14ac:dyDescent="0.2">
      <c r="A4" s="222">
        <v>43372</v>
      </c>
      <c r="B4" s="159">
        <v>2018</v>
      </c>
      <c r="C4" s="146" t="s">
        <v>32</v>
      </c>
      <c r="D4" s="159">
        <v>195</v>
      </c>
      <c r="E4" s="159">
        <v>10</v>
      </c>
      <c r="F4" s="146"/>
      <c r="G4" s="159">
        <v>10</v>
      </c>
      <c r="H4" s="146"/>
      <c r="I4" s="146"/>
      <c r="J4" s="157">
        <v>454</v>
      </c>
      <c r="K4" s="157">
        <v>1258.22</v>
      </c>
      <c r="L4" s="146"/>
      <c r="M4" s="157">
        <v>0</v>
      </c>
      <c r="N4" s="157">
        <v>28</v>
      </c>
      <c r="O4" s="157">
        <v>12</v>
      </c>
      <c r="P4" s="157">
        <v>476</v>
      </c>
      <c r="Q4" s="146"/>
      <c r="R4" s="162">
        <f>SUM(J4:P4)</f>
        <v>2228.2200000000003</v>
      </c>
      <c r="S4" s="51">
        <f t="shared" si="0"/>
        <v>0.78637656963854552</v>
      </c>
      <c r="T4" s="51">
        <f>SUM(M4+N4)/R4</f>
        <v>1.2566084138909082E-2</v>
      </c>
      <c r="U4" s="51">
        <f>P4/R4</f>
        <v>0.2136234303614544</v>
      </c>
      <c r="V4" s="147"/>
      <c r="W4" s="146"/>
      <c r="X4" s="146"/>
      <c r="Y4" s="157">
        <f t="shared" si="1"/>
        <v>11.426769230769231</v>
      </c>
      <c r="Z4" s="158">
        <f t="shared" si="2"/>
        <v>222.82200000000003</v>
      </c>
      <c r="AA4" s="147" t="s">
        <v>34</v>
      </c>
      <c r="AB4" s="146" t="s">
        <v>110</v>
      </c>
    </row>
    <row r="5" spans="1:28" ht="32" x14ac:dyDescent="0.2">
      <c r="A5" s="222">
        <v>43673</v>
      </c>
      <c r="B5" s="159">
        <v>2019</v>
      </c>
      <c r="C5" s="145" t="s">
        <v>30</v>
      </c>
      <c r="D5" s="154">
        <v>303</v>
      </c>
      <c r="E5" s="159">
        <v>18</v>
      </c>
      <c r="F5" s="146"/>
      <c r="G5" s="146"/>
      <c r="H5" s="157">
        <v>51</v>
      </c>
      <c r="I5" s="157"/>
      <c r="J5" s="157">
        <v>709</v>
      </c>
      <c r="K5" s="157">
        <v>2344</v>
      </c>
      <c r="L5" s="157"/>
      <c r="M5" s="157">
        <v>0</v>
      </c>
      <c r="N5" s="157">
        <v>72</v>
      </c>
      <c r="O5" s="157">
        <v>50</v>
      </c>
      <c r="P5" s="157">
        <v>906.5</v>
      </c>
      <c r="Q5" s="157"/>
      <c r="R5" s="162">
        <v>4132.5</v>
      </c>
      <c r="S5" s="51">
        <f t="shared" si="0"/>
        <v>0.7683000604960678</v>
      </c>
      <c r="T5" s="51">
        <f>SUM(M5+N5)/R5</f>
        <v>1.7422867513611617E-2</v>
      </c>
      <c r="U5" s="51">
        <f>(H5+P5)/R5</f>
        <v>0.23169993950393225</v>
      </c>
      <c r="V5" s="146"/>
      <c r="W5" s="146"/>
      <c r="X5" s="146"/>
      <c r="Y5" s="157">
        <f t="shared" si="1"/>
        <v>13.638613861386139</v>
      </c>
      <c r="Z5" s="158">
        <f t="shared" si="2"/>
        <v>229.58333333333334</v>
      </c>
      <c r="AA5" s="147" t="s">
        <v>40</v>
      </c>
      <c r="AB5" s="146" t="s">
        <v>110</v>
      </c>
    </row>
    <row r="6" spans="1:28" ht="32" x14ac:dyDescent="0.2">
      <c r="A6" s="222">
        <v>43694</v>
      </c>
      <c r="B6" s="159">
        <v>2019</v>
      </c>
      <c r="C6" s="146" t="s">
        <v>31</v>
      </c>
      <c r="D6" s="159">
        <v>397</v>
      </c>
      <c r="E6" s="159">
        <v>18</v>
      </c>
      <c r="F6" s="146"/>
      <c r="G6" s="146"/>
      <c r="H6" s="157">
        <v>0</v>
      </c>
      <c r="I6" s="157"/>
      <c r="J6" s="157">
        <v>635</v>
      </c>
      <c r="K6" s="157">
        <v>5230.3500000000004</v>
      </c>
      <c r="L6" s="157"/>
      <c r="M6" s="157">
        <v>0</v>
      </c>
      <c r="N6" s="157">
        <v>116</v>
      </c>
      <c r="O6" s="157">
        <v>22</v>
      </c>
      <c r="P6" s="157">
        <v>980</v>
      </c>
      <c r="Q6" s="157"/>
      <c r="R6" s="162">
        <v>6983.35</v>
      </c>
      <c r="S6" s="51">
        <f t="shared" si="0"/>
        <v>0.85966620604724098</v>
      </c>
      <c r="T6" s="51">
        <f>SUM(M6+N6)/R6</f>
        <v>1.6610938876040867E-2</v>
      </c>
      <c r="U6" s="51">
        <f>P6/R6</f>
        <v>0.14033379395275905</v>
      </c>
      <c r="V6" s="146"/>
      <c r="W6" s="146"/>
      <c r="X6" s="146"/>
      <c r="Y6" s="157">
        <f t="shared" si="1"/>
        <v>17.590302267002521</v>
      </c>
      <c r="Z6" s="158">
        <f t="shared" si="2"/>
        <v>387.9638888888889</v>
      </c>
      <c r="AA6" s="147" t="s">
        <v>38</v>
      </c>
      <c r="AB6" s="146" t="s">
        <v>110</v>
      </c>
    </row>
    <row r="7" spans="1:28" ht="48" x14ac:dyDescent="0.2">
      <c r="A7" s="222">
        <v>43736</v>
      </c>
      <c r="B7" s="159">
        <v>2019</v>
      </c>
      <c r="C7" s="145" t="s">
        <v>32</v>
      </c>
      <c r="D7" s="159">
        <v>224</v>
      </c>
      <c r="E7" s="159">
        <v>12</v>
      </c>
      <c r="F7" s="146"/>
      <c r="G7" s="146"/>
      <c r="H7" s="167">
        <v>28</v>
      </c>
      <c r="I7" s="167"/>
      <c r="J7" s="157">
        <v>470</v>
      </c>
      <c r="K7" s="157">
        <v>1282.5</v>
      </c>
      <c r="L7" s="157"/>
      <c r="M7" s="157">
        <v>0</v>
      </c>
      <c r="N7" s="157">
        <v>84</v>
      </c>
      <c r="O7" s="157">
        <v>36</v>
      </c>
      <c r="P7" s="157">
        <v>317</v>
      </c>
      <c r="Q7" s="157"/>
      <c r="R7" s="162">
        <v>2217.5</v>
      </c>
      <c r="S7" s="51">
        <f t="shared" si="0"/>
        <v>0.84441939120631337</v>
      </c>
      <c r="T7" s="51">
        <f>(M7+N7)/R7</f>
        <v>3.7880496054114997E-2</v>
      </c>
      <c r="U7" s="51">
        <f>(H7+P7)/R7</f>
        <v>0.1555806087936866</v>
      </c>
      <c r="V7" s="146"/>
      <c r="W7" s="146"/>
      <c r="X7" s="146"/>
      <c r="Y7" s="157">
        <f t="shared" si="1"/>
        <v>9.8995535714285712</v>
      </c>
      <c r="Z7" s="158">
        <f t="shared" si="2"/>
        <v>184.79166666666666</v>
      </c>
      <c r="AA7" s="147" t="s">
        <v>34</v>
      </c>
      <c r="AB7" s="146" t="s">
        <v>110</v>
      </c>
    </row>
    <row r="8" spans="1:28" x14ac:dyDescent="0.2">
      <c r="A8" s="222">
        <v>44401</v>
      </c>
      <c r="B8" s="159">
        <v>2021</v>
      </c>
      <c r="C8" s="146" t="s">
        <v>30</v>
      </c>
      <c r="D8" s="163">
        <v>334</v>
      </c>
      <c r="E8" s="165">
        <v>13</v>
      </c>
      <c r="F8" s="157">
        <v>200</v>
      </c>
      <c r="G8" s="157"/>
      <c r="H8" s="146"/>
      <c r="I8" s="146"/>
      <c r="J8" s="157">
        <v>1100</v>
      </c>
      <c r="K8" s="157">
        <v>2343.91</v>
      </c>
      <c r="L8" s="157"/>
      <c r="M8" s="157">
        <v>0</v>
      </c>
      <c r="N8" s="157">
        <v>60</v>
      </c>
      <c r="O8" s="146"/>
      <c r="P8" s="157">
        <v>1705.75</v>
      </c>
      <c r="Q8" s="157"/>
      <c r="R8" s="162">
        <f>SUM(F8:P8)</f>
        <v>5409.66</v>
      </c>
      <c r="S8" s="51">
        <f>SUM(J8+K8+M8+N8)/R8</f>
        <v>0.64771353467685588</v>
      </c>
      <c r="T8" s="51">
        <f>SUM(M8+N8)/R8</f>
        <v>1.1091270061334724E-2</v>
      </c>
      <c r="U8" s="51">
        <f>P8/R8</f>
        <v>0.31531556511869507</v>
      </c>
      <c r="V8" s="157"/>
      <c r="W8" s="154"/>
      <c r="X8" s="157"/>
      <c r="Y8" s="157">
        <f t="shared" si="1"/>
        <v>16.196586826347303</v>
      </c>
      <c r="Z8" s="158">
        <f t="shared" si="2"/>
        <v>416.12769230769231</v>
      </c>
      <c r="AA8" s="147" t="s">
        <v>51</v>
      </c>
      <c r="AB8" s="146" t="s">
        <v>110</v>
      </c>
    </row>
    <row r="9" spans="1:28" ht="32" x14ac:dyDescent="0.2">
      <c r="A9" s="222">
        <v>44429</v>
      </c>
      <c r="B9" s="159">
        <v>2021</v>
      </c>
      <c r="C9" s="146" t="s">
        <v>31</v>
      </c>
      <c r="D9" s="230">
        <v>557</v>
      </c>
      <c r="E9" s="230">
        <v>13</v>
      </c>
      <c r="F9" s="233">
        <v>200</v>
      </c>
      <c r="G9" s="157"/>
      <c r="H9" s="146"/>
      <c r="I9" s="146"/>
      <c r="J9" s="233">
        <v>1700</v>
      </c>
      <c r="K9" s="233">
        <v>3471.54</v>
      </c>
      <c r="L9" s="146"/>
      <c r="M9" s="233">
        <v>107</v>
      </c>
      <c r="N9" s="233">
        <v>88</v>
      </c>
      <c r="O9" s="146"/>
      <c r="P9" s="233">
        <v>2051.5</v>
      </c>
      <c r="Q9" s="157"/>
      <c r="R9" s="234">
        <v>7618.04</v>
      </c>
      <c r="S9" s="235">
        <v>0.7044515387159952</v>
      </c>
      <c r="T9" s="235">
        <v>2.5597135221132994E-2</v>
      </c>
      <c r="U9" s="235">
        <v>0.26929498926232992</v>
      </c>
      <c r="V9" s="233"/>
      <c r="W9" s="154"/>
      <c r="X9" s="157"/>
      <c r="Y9" s="157">
        <f t="shared" si="1"/>
        <v>13.676912028725313</v>
      </c>
      <c r="Z9" s="158">
        <f t="shared" si="2"/>
        <v>586.00307692307695</v>
      </c>
      <c r="AA9" s="147" t="s">
        <v>38</v>
      </c>
      <c r="AB9" s="146" t="s">
        <v>110</v>
      </c>
    </row>
    <row r="10" spans="1:28" ht="48" x14ac:dyDescent="0.2">
      <c r="A10" s="222">
        <v>44457</v>
      </c>
      <c r="B10" s="159">
        <v>2021</v>
      </c>
      <c r="C10" s="146" t="s">
        <v>32</v>
      </c>
      <c r="D10" s="230">
        <v>134</v>
      </c>
      <c r="E10" s="230">
        <v>6</v>
      </c>
      <c r="F10" s="233">
        <v>100</v>
      </c>
      <c r="G10" s="157"/>
      <c r="H10" s="146"/>
      <c r="I10" s="146"/>
      <c r="J10" s="233">
        <v>380</v>
      </c>
      <c r="K10" s="233">
        <v>618</v>
      </c>
      <c r="L10" s="146"/>
      <c r="M10" s="233">
        <v>0</v>
      </c>
      <c r="N10" s="233">
        <v>0</v>
      </c>
      <c r="O10" s="146"/>
      <c r="P10" s="233">
        <v>613</v>
      </c>
      <c r="Q10" s="157"/>
      <c r="R10" s="234">
        <v>1711</v>
      </c>
      <c r="S10" s="235">
        <v>0.58328462887200472</v>
      </c>
      <c r="T10" s="235">
        <v>0</v>
      </c>
      <c r="U10" s="235">
        <v>0.41671537112799534</v>
      </c>
      <c r="V10" s="233"/>
      <c r="W10" s="154"/>
      <c r="X10" s="157"/>
      <c r="Y10" s="157">
        <f t="shared" si="1"/>
        <v>12.76865671641791</v>
      </c>
      <c r="Z10" s="158">
        <f t="shared" si="2"/>
        <v>285.16666666666669</v>
      </c>
      <c r="AA10" s="147" t="s">
        <v>124</v>
      </c>
      <c r="AB10" s="146" t="s">
        <v>110</v>
      </c>
    </row>
    <row r="11" spans="1:28" x14ac:dyDescent="0.2">
      <c r="D11">
        <f>SUM(D2:D10)</f>
        <v>2980</v>
      </c>
      <c r="E11">
        <f>SUM(E2:E10)</f>
        <v>127</v>
      </c>
      <c r="R11" s="67">
        <f>SUM(R2:R10)</f>
        <v>39150.689999999995</v>
      </c>
    </row>
  </sheetData>
  <pageMargins left="0.7" right="0.7" top="0.75" bottom="0.75" header="0.3" footer="0.3"/>
  <pageSetup orientation="landscape" horizontalDpi="0" verticalDpi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75FF8-0478-4F9D-BD9F-72AEC8AD540D}">
  <dimension ref="A2:W69"/>
  <sheetViews>
    <sheetView topLeftCell="A34" workbookViewId="0">
      <selection activeCell="E48" sqref="E48"/>
    </sheetView>
  </sheetViews>
  <sheetFormatPr baseColWidth="10" defaultColWidth="8.625" defaultRowHeight="16" x14ac:dyDescent="0.2"/>
  <cols>
    <col min="1" max="1" width="11" bestFit="1" customWidth="1"/>
    <col min="2" max="2" width="8.375" customWidth="1"/>
    <col min="3" max="3" width="6.375" bestFit="1" customWidth="1"/>
    <col min="4" max="4" width="9.25" customWidth="1"/>
    <col min="5" max="5" width="9.25" bestFit="1" customWidth="1"/>
    <col min="6" max="6" width="7.125" customWidth="1"/>
    <col min="7" max="7" width="7.25" bestFit="1" customWidth="1"/>
    <col min="8" max="8" width="8.625" customWidth="1"/>
    <col min="9" max="9" width="9.25" customWidth="1"/>
    <col min="10" max="10" width="10.75" customWidth="1"/>
    <col min="15" max="15" width="10.875" customWidth="1"/>
    <col min="19" max="19" width="11.125" customWidth="1"/>
  </cols>
  <sheetData>
    <row r="2" spans="1:23" x14ac:dyDescent="0.2">
      <c r="A2" s="249" t="s">
        <v>80</v>
      </c>
      <c r="B2" s="249"/>
      <c r="C2" s="249"/>
      <c r="D2" s="249"/>
      <c r="E2" s="249"/>
      <c r="F2" s="249"/>
      <c r="G2" s="249"/>
      <c r="H2" s="249"/>
      <c r="I2" s="249"/>
    </row>
    <row r="3" spans="1:23" ht="51" x14ac:dyDescent="0.2">
      <c r="A3" s="181" t="s">
        <v>72</v>
      </c>
      <c r="B3" s="84" t="s">
        <v>76</v>
      </c>
      <c r="C3" s="84" t="s">
        <v>102</v>
      </c>
      <c r="D3" s="84" t="s">
        <v>86</v>
      </c>
      <c r="E3" s="7" t="s">
        <v>92</v>
      </c>
      <c r="G3" s="181" t="s">
        <v>72</v>
      </c>
      <c r="H3" s="84" t="s">
        <v>77</v>
      </c>
      <c r="I3" s="84" t="s">
        <v>87</v>
      </c>
      <c r="J3" s="143" t="s">
        <v>91</v>
      </c>
      <c r="L3" s="181" t="s">
        <v>72</v>
      </c>
      <c r="M3" s="84" t="s">
        <v>79</v>
      </c>
      <c r="N3" s="84" t="s">
        <v>87</v>
      </c>
      <c r="O3" s="143" t="s">
        <v>93</v>
      </c>
      <c r="S3" s="181" t="s">
        <v>72</v>
      </c>
      <c r="T3" s="84" t="s">
        <v>86</v>
      </c>
      <c r="U3" s="84" t="s">
        <v>88</v>
      </c>
      <c r="V3" s="143" t="s">
        <v>89</v>
      </c>
    </row>
    <row r="4" spans="1:23" ht="17" x14ac:dyDescent="0.2">
      <c r="A4" s="182">
        <v>2015</v>
      </c>
      <c r="B4" s="183">
        <v>4131</v>
      </c>
      <c r="C4" s="183">
        <v>207</v>
      </c>
      <c r="D4" s="184">
        <v>20071.380000000005</v>
      </c>
      <c r="G4" s="182">
        <v>2015</v>
      </c>
      <c r="H4" s="183">
        <v>243</v>
      </c>
      <c r="I4" s="189">
        <v>1180.6694117647062</v>
      </c>
      <c r="J4" s="184">
        <f>D4/B4</f>
        <v>4.8587218591140173</v>
      </c>
      <c r="L4" s="182">
        <v>2015</v>
      </c>
      <c r="M4" s="183">
        <v>12.176470588235293</v>
      </c>
      <c r="N4" s="189">
        <v>1180.6694117647062</v>
      </c>
      <c r="O4" s="184">
        <f t="shared" ref="O4:O9" si="0">D4/C4</f>
        <v>96.963188405797126</v>
      </c>
      <c r="S4" s="185" t="s">
        <v>29</v>
      </c>
      <c r="T4" s="184">
        <v>43332.41</v>
      </c>
      <c r="U4" s="183">
        <v>244</v>
      </c>
      <c r="V4" s="184">
        <f>GETPIVOTDATA("Sum of Total Sales",$S$3,"Month","June")+GETPIVOTDATA("Sum of HUB",$S$3,"Month","June")</f>
        <v>43576.41</v>
      </c>
    </row>
    <row r="5" spans="1:23" ht="17" x14ac:dyDescent="0.2">
      <c r="A5" s="182">
        <v>2018</v>
      </c>
      <c r="B5" s="183">
        <v>5239</v>
      </c>
      <c r="C5" s="183">
        <v>241</v>
      </c>
      <c r="D5" s="184">
        <v>44267.43</v>
      </c>
      <c r="G5" s="182">
        <v>2018</v>
      </c>
      <c r="H5" s="183">
        <v>291.05555555555554</v>
      </c>
      <c r="I5" s="189">
        <v>2459.3016666666667</v>
      </c>
      <c r="J5" s="184">
        <f t="shared" ref="J5:J9" si="1">D5/B5</f>
        <v>8.4495953426226382</v>
      </c>
      <c r="L5" s="182">
        <v>2018</v>
      </c>
      <c r="M5" s="183">
        <v>13.388888888888889</v>
      </c>
      <c r="N5" s="189">
        <v>2459.3016666666667</v>
      </c>
      <c r="O5" s="184">
        <f t="shared" si="0"/>
        <v>183.68228215767635</v>
      </c>
      <c r="S5" s="185" t="s">
        <v>30</v>
      </c>
      <c r="T5" s="184">
        <v>50424.639999999999</v>
      </c>
      <c r="U5" s="183">
        <v>678.5</v>
      </c>
      <c r="V5" s="184">
        <f>GETPIVOTDATA("Sum of Total Sales",$S$3,"Month","July")+GETPIVOTDATA("Sum of HUB",$S$3,"Month","July")</f>
        <v>51103.14</v>
      </c>
    </row>
    <row r="6" spans="1:23" ht="17" x14ac:dyDescent="0.2">
      <c r="A6" s="182">
        <v>2019</v>
      </c>
      <c r="B6" s="183">
        <v>4399</v>
      </c>
      <c r="C6" s="183">
        <v>218</v>
      </c>
      <c r="D6" s="184">
        <v>44556.800000000003</v>
      </c>
      <c r="G6" s="182">
        <v>2019</v>
      </c>
      <c r="H6" s="183">
        <v>244.38888888888889</v>
      </c>
      <c r="I6" s="189">
        <v>2475.3777777777777</v>
      </c>
      <c r="J6" s="184">
        <f t="shared" si="1"/>
        <v>10.128847465333031</v>
      </c>
      <c r="L6" s="182">
        <v>2019</v>
      </c>
      <c r="M6" s="183">
        <v>12.111111111111111</v>
      </c>
      <c r="N6" s="189">
        <v>2475.3777777777777</v>
      </c>
      <c r="O6" s="184">
        <f t="shared" si="0"/>
        <v>204.3889908256881</v>
      </c>
      <c r="S6" s="185" t="s">
        <v>31</v>
      </c>
      <c r="T6" s="184">
        <v>60568.412100000001</v>
      </c>
      <c r="U6" s="183">
        <v>807.25</v>
      </c>
      <c r="V6" s="184">
        <f>GETPIVOTDATA("Sum of Total Sales",$S$3,"Month","Aug")+GETPIVOTDATA("Sum of HUB",$S$3,"Month","Aug")</f>
        <v>61375.662100000001</v>
      </c>
    </row>
    <row r="7" spans="1:23" ht="17" x14ac:dyDescent="0.2">
      <c r="A7" s="182">
        <v>2020</v>
      </c>
      <c r="B7" s="183">
        <v>2509</v>
      </c>
      <c r="C7" s="183">
        <v>109</v>
      </c>
      <c r="D7" s="184">
        <v>30237.149999999998</v>
      </c>
      <c r="E7" s="187">
        <v>2339.4</v>
      </c>
      <c r="G7" s="182">
        <v>2020</v>
      </c>
      <c r="H7" s="183">
        <v>179.21428571428572</v>
      </c>
      <c r="I7" s="189">
        <v>2159.7964285714284</v>
      </c>
      <c r="J7" s="184">
        <f t="shared" si="1"/>
        <v>12.051474691111997</v>
      </c>
      <c r="L7" s="182">
        <v>2020</v>
      </c>
      <c r="M7" s="183">
        <v>7.7857142857142856</v>
      </c>
      <c r="N7" s="189">
        <v>2159.7964285714284</v>
      </c>
      <c r="O7" s="184">
        <f t="shared" si="0"/>
        <v>277.40504587155959</v>
      </c>
      <c r="S7" s="185" t="s">
        <v>32</v>
      </c>
      <c r="T7" s="184">
        <v>37504.57</v>
      </c>
      <c r="U7" s="183">
        <v>609.65</v>
      </c>
      <c r="V7" s="184">
        <f>GETPIVOTDATA("Sum of Total Sales",$S$3,"Month","Sep")+GETPIVOTDATA("Sum of HUB",$S$3,"Month","Sep")</f>
        <v>38114.22</v>
      </c>
    </row>
    <row r="8" spans="1:23" ht="17" x14ac:dyDescent="0.2">
      <c r="A8" s="182">
        <v>2021</v>
      </c>
      <c r="B8" s="183">
        <v>4235</v>
      </c>
      <c r="C8" s="183">
        <v>157</v>
      </c>
      <c r="D8" s="184">
        <v>52697.272100000002</v>
      </c>
      <c r="G8" s="182">
        <v>2021</v>
      </c>
      <c r="H8" s="183">
        <v>264.6875</v>
      </c>
      <c r="I8" s="189">
        <v>3099.8395352941179</v>
      </c>
      <c r="J8" s="184">
        <f t="shared" si="1"/>
        <v>12.443275584415584</v>
      </c>
      <c r="L8" s="182">
        <v>2021</v>
      </c>
      <c r="M8" s="183">
        <v>9.8125</v>
      </c>
      <c r="N8" s="189">
        <v>3099.8395352941179</v>
      </c>
      <c r="O8" s="184">
        <f t="shared" si="0"/>
        <v>335.65141464968156</v>
      </c>
      <c r="S8" s="185" t="s">
        <v>73</v>
      </c>
      <c r="T8" s="184">
        <v>191830.03210000001</v>
      </c>
      <c r="U8" s="183">
        <v>2339.4</v>
      </c>
      <c r="V8" s="184">
        <f>GETPIVOTDATA("Sum of Total Sales",$S$3)+GETPIVOTDATA("Sum of HUB",$S$3)</f>
        <v>194169.43210000001</v>
      </c>
      <c r="W8" s="67"/>
    </row>
    <row r="9" spans="1:23" ht="34" x14ac:dyDescent="0.2">
      <c r="A9" s="182" t="s">
        <v>73</v>
      </c>
      <c r="B9" s="183">
        <v>20513</v>
      </c>
      <c r="C9" s="183">
        <v>932</v>
      </c>
      <c r="D9" s="184">
        <v>191830.03210000001</v>
      </c>
      <c r="G9" s="182" t="s">
        <v>73</v>
      </c>
      <c r="H9" s="183">
        <v>247.14457831325302</v>
      </c>
      <c r="I9" s="189">
        <v>2283.6908583333334</v>
      </c>
      <c r="J9" s="184">
        <f t="shared" si="1"/>
        <v>9.3516322380929164</v>
      </c>
      <c r="L9" s="182" t="s">
        <v>73</v>
      </c>
      <c r="M9" s="183">
        <v>11.228915662650602</v>
      </c>
      <c r="N9" s="189">
        <v>2283.6908583333334</v>
      </c>
      <c r="O9" s="184">
        <f t="shared" si="0"/>
        <v>205.82621469957084</v>
      </c>
    </row>
    <row r="10" spans="1:23" x14ac:dyDescent="0.2">
      <c r="A10" s="205">
        <v>2017</v>
      </c>
      <c r="B10" s="205">
        <v>4084</v>
      </c>
      <c r="C10" s="205">
        <v>231</v>
      </c>
      <c r="D10" s="205">
        <v>43246</v>
      </c>
      <c r="U10" s="180"/>
    </row>
    <row r="11" spans="1:23" ht="17" x14ac:dyDescent="0.2">
      <c r="A11" s="7" t="s">
        <v>98</v>
      </c>
      <c r="B11" s="83">
        <f>AVERAGE(B4:B8,B10)</f>
        <v>4099.5</v>
      </c>
      <c r="C11" s="83">
        <f t="shared" ref="C11:D11" si="2">AVERAGE(C4:C8,C10)</f>
        <v>193.83333333333334</v>
      </c>
      <c r="D11" s="83">
        <f t="shared" si="2"/>
        <v>39179.338683333335</v>
      </c>
      <c r="U11" s="180"/>
    </row>
    <row r="12" spans="1:23" ht="51" x14ac:dyDescent="0.2">
      <c r="S12" s="181" t="s">
        <v>72</v>
      </c>
      <c r="T12" s="84" t="s">
        <v>86</v>
      </c>
      <c r="U12" s="186" t="s">
        <v>88</v>
      </c>
      <c r="V12" s="143" t="s">
        <v>89</v>
      </c>
    </row>
    <row r="13" spans="1:23" x14ac:dyDescent="0.2">
      <c r="A13" s="250" t="s">
        <v>28</v>
      </c>
      <c r="B13" s="250"/>
      <c r="C13" s="250"/>
      <c r="D13" s="250"/>
      <c r="E13" s="250"/>
      <c r="F13" s="250"/>
      <c r="G13" s="250"/>
      <c r="H13" s="250"/>
      <c r="I13" s="250"/>
      <c r="S13" s="182">
        <v>2015</v>
      </c>
      <c r="T13" s="184">
        <v>20071.380000000005</v>
      </c>
      <c r="U13" s="188"/>
      <c r="V13" s="184">
        <f>GETPIVOTDATA("Sum of Total Sales",$S$12,"Year",2015)</f>
        <v>20071.380000000005</v>
      </c>
    </row>
    <row r="14" spans="1:23" ht="51" x14ac:dyDescent="0.2">
      <c r="A14" s="181" t="s">
        <v>72</v>
      </c>
      <c r="B14" s="84" t="s">
        <v>76</v>
      </c>
      <c r="C14" s="84" t="s">
        <v>78</v>
      </c>
      <c r="D14" s="84" t="s">
        <v>86</v>
      </c>
      <c r="E14" s="36"/>
      <c r="G14" s="181" t="s">
        <v>72</v>
      </c>
      <c r="H14" s="84" t="s">
        <v>77</v>
      </c>
      <c r="I14" s="84" t="s">
        <v>87</v>
      </c>
      <c r="J14" s="143" t="s">
        <v>91</v>
      </c>
      <c r="L14" s="181" t="s">
        <v>72</v>
      </c>
      <c r="M14" s="84" t="s">
        <v>79</v>
      </c>
      <c r="N14" s="84" t="s">
        <v>87</v>
      </c>
      <c r="O14" s="143" t="s">
        <v>93</v>
      </c>
      <c r="S14" s="182">
        <v>2018</v>
      </c>
      <c r="T14" s="184">
        <v>44267.43</v>
      </c>
      <c r="U14" s="188"/>
      <c r="V14" s="184">
        <f>GETPIVOTDATA("Sum of Total Sales",$S$12,"Year",2018)</f>
        <v>44267.43</v>
      </c>
    </row>
    <row r="15" spans="1:23" ht="17" x14ac:dyDescent="0.2">
      <c r="A15" s="185" t="s">
        <v>29</v>
      </c>
      <c r="B15" s="183">
        <v>5825</v>
      </c>
      <c r="C15" s="183">
        <v>244</v>
      </c>
      <c r="D15" s="184">
        <v>43332.41</v>
      </c>
      <c r="E15" s="190"/>
      <c r="G15" s="185" t="s">
        <v>29</v>
      </c>
      <c r="H15" s="183">
        <v>291.25</v>
      </c>
      <c r="I15" s="189">
        <v>2166.6205</v>
      </c>
      <c r="J15" s="184">
        <f>D15/B15</f>
        <v>7.4390403433476404</v>
      </c>
      <c r="L15" s="185" t="s">
        <v>29</v>
      </c>
      <c r="M15" s="183">
        <v>12.2</v>
      </c>
      <c r="N15" s="189">
        <v>2166.6205</v>
      </c>
      <c r="O15" s="184">
        <f>D15/C15</f>
        <v>177.5918442622951</v>
      </c>
      <c r="S15" s="182">
        <v>2019</v>
      </c>
      <c r="T15" s="184">
        <v>44556.800000000003</v>
      </c>
      <c r="U15" s="188"/>
      <c r="V15" s="184">
        <f>GETPIVOTDATA("Sum of Total Sales",$S$12,"Year",2019)</f>
        <v>44556.800000000003</v>
      </c>
    </row>
    <row r="16" spans="1:23" ht="17" x14ac:dyDescent="0.2">
      <c r="A16" s="185" t="s">
        <v>30</v>
      </c>
      <c r="B16" s="183">
        <v>5595</v>
      </c>
      <c r="C16" s="183">
        <v>242</v>
      </c>
      <c r="D16" s="184">
        <v>50424.639999999999</v>
      </c>
      <c r="E16" s="190"/>
      <c r="G16" s="185" t="s">
        <v>30</v>
      </c>
      <c r="H16" s="183">
        <v>266.42857142857144</v>
      </c>
      <c r="I16" s="189">
        <v>2401.1733333333332</v>
      </c>
      <c r="J16" s="184">
        <f t="shared" ref="J16:J19" si="3">D16/B16</f>
        <v>9.0124468275245757</v>
      </c>
      <c r="L16" s="185" t="s">
        <v>30</v>
      </c>
      <c r="M16" s="183">
        <v>11.523809523809524</v>
      </c>
      <c r="N16" s="189">
        <v>2401.1733333333332</v>
      </c>
      <c r="O16" s="184">
        <f>D16/C16</f>
        <v>208.36628099173552</v>
      </c>
      <c r="S16" s="182">
        <v>2020</v>
      </c>
      <c r="T16" s="184">
        <v>30237.149999999998</v>
      </c>
      <c r="U16" s="187">
        <v>2339.4</v>
      </c>
      <c r="V16" s="184">
        <f>GETPIVOTDATA("Sum of Total Sales",$S$12,"Year",2020)+GETPIVOTDATA("Sum of HUB",$S$12,"Year",2020)</f>
        <v>32576.55</v>
      </c>
    </row>
    <row r="17" spans="1:22" ht="17" x14ac:dyDescent="0.2">
      <c r="A17" s="185" t="s">
        <v>31</v>
      </c>
      <c r="B17" s="183">
        <v>5589</v>
      </c>
      <c r="C17" s="183">
        <v>251</v>
      </c>
      <c r="D17" s="184">
        <v>60568.412100000001</v>
      </c>
      <c r="E17" s="190"/>
      <c r="G17" s="185" t="s">
        <v>31</v>
      </c>
      <c r="H17" s="183">
        <v>243</v>
      </c>
      <c r="I17" s="189">
        <v>2633.4092217391303</v>
      </c>
      <c r="J17" s="184">
        <f t="shared" si="3"/>
        <v>10.837074986580784</v>
      </c>
      <c r="L17" s="185" t="s">
        <v>31</v>
      </c>
      <c r="M17" s="183">
        <v>10.913043478260869</v>
      </c>
      <c r="N17" s="189">
        <v>2633.4092217391303</v>
      </c>
      <c r="O17" s="184">
        <f>D17/C17</f>
        <v>241.30841474103588</v>
      </c>
      <c r="S17" s="182">
        <v>2021</v>
      </c>
      <c r="T17" s="184">
        <v>52697.272100000002</v>
      </c>
      <c r="U17" s="187"/>
      <c r="V17" s="184">
        <f>GETPIVOTDATA("Sum of Total Sales",$S$12,"Year",2021)</f>
        <v>52697.272100000002</v>
      </c>
    </row>
    <row r="18" spans="1:22" ht="17" x14ac:dyDescent="0.2">
      <c r="A18" s="185" t="s">
        <v>32</v>
      </c>
      <c r="B18" s="183">
        <v>3504</v>
      </c>
      <c r="C18" s="183">
        <v>195</v>
      </c>
      <c r="D18" s="184">
        <v>37504.57</v>
      </c>
      <c r="E18" s="190"/>
      <c r="G18" s="185" t="s">
        <v>32</v>
      </c>
      <c r="H18" s="183">
        <v>184.42105263157896</v>
      </c>
      <c r="I18" s="189">
        <v>1875.2284999999999</v>
      </c>
      <c r="J18" s="184">
        <f>D18/B18</f>
        <v>10.703359018264839</v>
      </c>
      <c r="L18" s="185" t="s">
        <v>32</v>
      </c>
      <c r="M18" s="183">
        <v>10.263157894736842</v>
      </c>
      <c r="N18" s="189">
        <v>1875.2284999999999</v>
      </c>
      <c r="O18" s="184">
        <f>D18/C18</f>
        <v>192.33112820512821</v>
      </c>
      <c r="S18" s="182" t="s">
        <v>73</v>
      </c>
      <c r="T18" s="184">
        <v>191830.03210000001</v>
      </c>
      <c r="U18" s="187">
        <v>2339.4</v>
      </c>
      <c r="V18" s="184">
        <f>GETPIVOTDATA("Sum of Total Sales",$S$12)+GETPIVOTDATA("Sum of HUB",$S$12)</f>
        <v>194169.43210000001</v>
      </c>
    </row>
    <row r="19" spans="1:22" ht="34" x14ac:dyDescent="0.2">
      <c r="A19" s="185" t="s">
        <v>73</v>
      </c>
      <c r="B19" s="183">
        <v>20513</v>
      </c>
      <c r="C19" s="183">
        <v>932</v>
      </c>
      <c r="D19" s="184">
        <v>191830.03210000001</v>
      </c>
      <c r="E19" s="190"/>
      <c r="G19" s="185" t="s">
        <v>73</v>
      </c>
      <c r="H19" s="183">
        <v>247.14457831325302</v>
      </c>
      <c r="I19" s="189">
        <v>2283.6908583333329</v>
      </c>
      <c r="J19" s="184">
        <f t="shared" si="3"/>
        <v>9.3516322380929164</v>
      </c>
      <c r="L19" s="185" t="s">
        <v>73</v>
      </c>
      <c r="M19" s="183">
        <v>11.228915662650602</v>
      </c>
      <c r="N19" s="189">
        <v>2283.6908583333329</v>
      </c>
      <c r="O19" s="184">
        <f>D19/C19</f>
        <v>205.82621469957084</v>
      </c>
    </row>
    <row r="20" spans="1:22" x14ac:dyDescent="0.2">
      <c r="E20" s="37"/>
      <c r="J20" s="184"/>
      <c r="O20" s="184"/>
    </row>
    <row r="21" spans="1:22" ht="34" x14ac:dyDescent="0.2">
      <c r="R21" s="168" t="s">
        <v>72</v>
      </c>
      <c r="S21" s="169" t="s">
        <v>90</v>
      </c>
      <c r="U21" s="168" t="s">
        <v>72</v>
      </c>
      <c r="V21" s="169" t="s">
        <v>90</v>
      </c>
    </row>
    <row r="22" spans="1:22" ht="17" x14ac:dyDescent="0.2">
      <c r="R22" s="174">
        <v>2015</v>
      </c>
      <c r="S22" s="177"/>
      <c r="U22" s="170" t="s">
        <v>29</v>
      </c>
      <c r="V22" s="177">
        <v>175</v>
      </c>
    </row>
    <row r="23" spans="1:22" ht="51" x14ac:dyDescent="0.2">
      <c r="A23" s="181" t="s">
        <v>72</v>
      </c>
      <c r="B23" s="84" t="s">
        <v>76</v>
      </c>
      <c r="C23" s="84" t="s">
        <v>78</v>
      </c>
      <c r="D23" s="84" t="s">
        <v>86</v>
      </c>
      <c r="E23" s="192" t="s">
        <v>33</v>
      </c>
      <c r="F23" s="195" t="s">
        <v>54</v>
      </c>
      <c r="G23" s="195" t="s">
        <v>95</v>
      </c>
      <c r="H23" s="196" t="s">
        <v>96</v>
      </c>
      <c r="R23" s="175">
        <v>2018</v>
      </c>
      <c r="S23" s="178"/>
      <c r="U23" s="171" t="s">
        <v>30</v>
      </c>
      <c r="V23" s="178">
        <v>414</v>
      </c>
    </row>
    <row r="24" spans="1:22" ht="17" x14ac:dyDescent="0.2">
      <c r="A24" s="185" t="s">
        <v>81</v>
      </c>
      <c r="B24" s="183">
        <v>4131</v>
      </c>
      <c r="C24" s="183">
        <v>207</v>
      </c>
      <c r="D24" s="184">
        <v>20071.380000000005</v>
      </c>
      <c r="E24" s="193">
        <v>17</v>
      </c>
      <c r="F24" s="197">
        <f>B24/E24</f>
        <v>243</v>
      </c>
      <c r="G24" s="197">
        <f>C24/E24</f>
        <v>12.176470588235293</v>
      </c>
      <c r="H24" s="198">
        <f>D24/E24</f>
        <v>1180.6694117647062</v>
      </c>
      <c r="R24" s="175">
        <v>2019</v>
      </c>
      <c r="S24" s="178"/>
      <c r="U24" s="171" t="s">
        <v>31</v>
      </c>
      <c r="V24" s="178">
        <v>416</v>
      </c>
    </row>
    <row r="25" spans="1:22" ht="17" x14ac:dyDescent="0.2">
      <c r="A25" s="185" t="s">
        <v>82</v>
      </c>
      <c r="B25" s="183">
        <v>5239</v>
      </c>
      <c r="C25" s="183">
        <v>241</v>
      </c>
      <c r="D25" s="184">
        <v>44267.43</v>
      </c>
      <c r="E25" s="193">
        <v>18</v>
      </c>
      <c r="F25" s="197">
        <f t="shared" ref="F25:F28" si="4">B25/E25</f>
        <v>291.05555555555554</v>
      </c>
      <c r="G25" s="197">
        <f t="shared" ref="G25:G28" si="5">C25/E25</f>
        <v>13.388888888888889</v>
      </c>
      <c r="H25" s="198">
        <f t="shared" ref="H25:H28" si="6">D25/E25</f>
        <v>2459.3016666666667</v>
      </c>
      <c r="R25" s="175">
        <v>2020</v>
      </c>
      <c r="S25" s="178">
        <v>322</v>
      </c>
      <c r="U25" s="171" t="s">
        <v>32</v>
      </c>
      <c r="V25" s="178">
        <v>288</v>
      </c>
    </row>
    <row r="26" spans="1:22" ht="34" x14ac:dyDescent="0.2">
      <c r="A26" s="185" t="s">
        <v>83</v>
      </c>
      <c r="B26" s="183">
        <v>4399</v>
      </c>
      <c r="C26" s="183">
        <v>218</v>
      </c>
      <c r="D26" s="184">
        <v>44556.800000000003</v>
      </c>
      <c r="E26" s="193">
        <v>18</v>
      </c>
      <c r="F26" s="197">
        <f t="shared" si="4"/>
        <v>244.38888888888889</v>
      </c>
      <c r="G26" s="197">
        <f t="shared" si="5"/>
        <v>12.111111111111111</v>
      </c>
      <c r="H26" s="198">
        <f t="shared" si="6"/>
        <v>2475.3777777777777</v>
      </c>
      <c r="R26" s="175">
        <v>2021</v>
      </c>
      <c r="S26" s="178">
        <v>971</v>
      </c>
      <c r="U26" s="172" t="s">
        <v>73</v>
      </c>
      <c r="V26" s="179">
        <v>1293</v>
      </c>
    </row>
    <row r="27" spans="1:22" ht="34" x14ac:dyDescent="0.2">
      <c r="A27" s="185" t="s">
        <v>84</v>
      </c>
      <c r="B27" s="183">
        <v>2509</v>
      </c>
      <c r="C27" s="183">
        <v>109</v>
      </c>
      <c r="D27" s="184">
        <v>30237.149999999998</v>
      </c>
      <c r="E27" s="193">
        <v>15</v>
      </c>
      <c r="F27" s="197">
        <f t="shared" si="4"/>
        <v>167.26666666666668</v>
      </c>
      <c r="G27" s="197">
        <f t="shared" si="5"/>
        <v>7.2666666666666666</v>
      </c>
      <c r="H27" s="198">
        <f t="shared" si="6"/>
        <v>2015.81</v>
      </c>
      <c r="R27" s="176" t="s">
        <v>73</v>
      </c>
      <c r="S27" s="179">
        <v>1293</v>
      </c>
    </row>
    <row r="28" spans="1:22" ht="17" x14ac:dyDescent="0.2">
      <c r="A28" s="185" t="s">
        <v>85</v>
      </c>
      <c r="B28" s="183">
        <v>4235</v>
      </c>
      <c r="C28" s="183">
        <v>157</v>
      </c>
      <c r="D28" s="184">
        <v>52697.272100000002</v>
      </c>
      <c r="E28" s="193">
        <v>16</v>
      </c>
      <c r="F28" s="197">
        <f t="shared" si="4"/>
        <v>264.6875</v>
      </c>
      <c r="G28" s="197">
        <f t="shared" si="5"/>
        <v>9.8125</v>
      </c>
      <c r="H28" s="198">
        <f t="shared" si="6"/>
        <v>3293.5795062500001</v>
      </c>
    </row>
    <row r="29" spans="1:22" ht="17" x14ac:dyDescent="0.2">
      <c r="A29" s="185" t="s">
        <v>73</v>
      </c>
      <c r="B29" s="183">
        <v>20513</v>
      </c>
      <c r="C29" s="183">
        <v>932</v>
      </c>
      <c r="D29" s="184">
        <v>191830.03210000001</v>
      </c>
      <c r="E29" s="194"/>
      <c r="F29" s="197"/>
      <c r="G29" s="197"/>
      <c r="H29" s="199"/>
    </row>
    <row r="30" spans="1:22" x14ac:dyDescent="0.2">
      <c r="A30" s="207">
        <v>2017</v>
      </c>
      <c r="B30" s="207">
        <v>4084</v>
      </c>
      <c r="C30" s="207">
        <v>231</v>
      </c>
      <c r="D30" s="210">
        <v>43246</v>
      </c>
      <c r="E30" s="207">
        <v>19</v>
      </c>
      <c r="V30" s="7"/>
    </row>
    <row r="31" spans="1:22" ht="17" x14ac:dyDescent="0.2">
      <c r="A31" s="211" t="s">
        <v>94</v>
      </c>
      <c r="B31" s="212">
        <f>SUM(B24:B28,B30)</f>
        <v>24597</v>
      </c>
      <c r="C31" s="212">
        <f>SUM(C24:C28,C30)</f>
        <v>1163</v>
      </c>
      <c r="D31" s="213">
        <f>SUM(D24:D28,D30)</f>
        <v>235076.03210000001</v>
      </c>
      <c r="E31" s="212">
        <f>SUM(E24:E28,E30)</f>
        <v>103</v>
      </c>
      <c r="F31" s="212"/>
      <c r="G31" s="212"/>
      <c r="H31" s="212"/>
      <c r="V31" s="191"/>
    </row>
    <row r="32" spans="1:22" ht="51" x14ac:dyDescent="0.2">
      <c r="A32" s="211" t="s">
        <v>98</v>
      </c>
      <c r="B32" s="212">
        <f>B31/E31</f>
        <v>238.80582524271844</v>
      </c>
      <c r="C32" s="212">
        <f>C31/E31</f>
        <v>11.291262135922331</v>
      </c>
      <c r="D32" s="213">
        <f>D31/E31</f>
        <v>2282.2915737864078</v>
      </c>
      <c r="E32" s="212"/>
      <c r="R32" s="7" t="s">
        <v>108</v>
      </c>
      <c r="S32" s="227" t="s">
        <v>106</v>
      </c>
      <c r="T32" s="227" t="s">
        <v>107</v>
      </c>
      <c r="U32" s="227" t="s">
        <v>7</v>
      </c>
    </row>
    <row r="33" spans="1:22" ht="85" x14ac:dyDescent="0.2">
      <c r="B33" s="214">
        <v>9</v>
      </c>
      <c r="C33" s="211" t="s">
        <v>99</v>
      </c>
      <c r="R33">
        <v>2015</v>
      </c>
      <c r="S33" s="226">
        <v>252</v>
      </c>
      <c r="T33" s="67"/>
      <c r="U33" s="67"/>
    </row>
    <row r="34" spans="1:22" x14ac:dyDescent="0.2">
      <c r="R34">
        <v>2018</v>
      </c>
      <c r="S34" s="67"/>
      <c r="T34" s="67">
        <v>8</v>
      </c>
      <c r="U34" s="67">
        <v>671.75</v>
      </c>
    </row>
    <row r="35" spans="1:22" x14ac:dyDescent="0.2">
      <c r="R35">
        <v>2019</v>
      </c>
      <c r="S35" s="67"/>
      <c r="T35" s="67">
        <v>0</v>
      </c>
      <c r="U35" s="67">
        <v>910</v>
      </c>
    </row>
    <row r="36" spans="1:22" x14ac:dyDescent="0.2">
      <c r="R36">
        <v>2020</v>
      </c>
      <c r="S36" s="67"/>
      <c r="T36" s="67">
        <v>162</v>
      </c>
      <c r="U36" s="67">
        <v>828</v>
      </c>
    </row>
    <row r="37" spans="1:22" x14ac:dyDescent="0.2">
      <c r="R37">
        <v>2021</v>
      </c>
      <c r="S37" s="67"/>
      <c r="T37" s="67">
        <v>464</v>
      </c>
      <c r="U37" s="67">
        <v>402</v>
      </c>
    </row>
    <row r="38" spans="1:22" ht="34" x14ac:dyDescent="0.2">
      <c r="R38" t="s">
        <v>73</v>
      </c>
      <c r="T38" s="67">
        <f>SUM(T34:T37)</f>
        <v>634</v>
      </c>
      <c r="U38" s="67">
        <f>SUM(U34:U37)</f>
        <v>2811.75</v>
      </c>
      <c r="V38" s="225">
        <f>SUM(T38:U38)</f>
        <v>3445.75</v>
      </c>
    </row>
    <row r="39" spans="1:22" x14ac:dyDescent="0.2">
      <c r="V39" s="228">
        <f>V38/4</f>
        <v>861.4375</v>
      </c>
    </row>
    <row r="40" spans="1:22" ht="51" x14ac:dyDescent="0.2">
      <c r="A40" s="7" t="s">
        <v>80</v>
      </c>
      <c r="B40" s="7" t="s">
        <v>103</v>
      </c>
      <c r="C40" s="7" t="s">
        <v>104</v>
      </c>
      <c r="D40" s="7" t="s">
        <v>105</v>
      </c>
    </row>
    <row r="41" spans="1:22" ht="17" x14ac:dyDescent="0.2">
      <c r="A41" t="s">
        <v>81</v>
      </c>
      <c r="B41" s="224">
        <v>0.37</v>
      </c>
      <c r="C41" s="224">
        <v>1.2E-2</v>
      </c>
      <c r="D41" s="224">
        <v>0.62</v>
      </c>
    </row>
    <row r="42" spans="1:22" ht="17" x14ac:dyDescent="0.2">
      <c r="A42" t="s">
        <v>82</v>
      </c>
      <c r="B42" s="224">
        <v>0.81671739244857899</v>
      </c>
      <c r="C42" s="224">
        <v>1.535553340232311E-2</v>
      </c>
      <c r="D42" s="224">
        <v>0.18328260755142101</v>
      </c>
    </row>
    <row r="43" spans="1:22" ht="17" x14ac:dyDescent="0.2">
      <c r="A43" t="s">
        <v>83</v>
      </c>
      <c r="B43" s="224">
        <v>0.77406254488652682</v>
      </c>
      <c r="C43" s="224">
        <v>2.0423369721344439E-2</v>
      </c>
      <c r="D43" s="224">
        <v>0.22592623348175808</v>
      </c>
    </row>
    <row r="44" spans="1:22" ht="17" x14ac:dyDescent="0.2">
      <c r="A44" t="s">
        <v>84</v>
      </c>
      <c r="B44" s="224">
        <v>0.82084951789437843</v>
      </c>
      <c r="C44" s="224">
        <v>3.274118096447582E-2</v>
      </c>
      <c r="D44" s="224">
        <v>0.17915048210562173</v>
      </c>
    </row>
    <row r="45" spans="1:22" ht="17" x14ac:dyDescent="0.2">
      <c r="A45" t="s">
        <v>85</v>
      </c>
      <c r="B45" s="224">
        <v>0.61851440883217934</v>
      </c>
      <c r="C45" s="224">
        <v>1.6433488214658457E-2</v>
      </c>
      <c r="D45" s="224">
        <v>0.3814855911678206</v>
      </c>
    </row>
    <row r="46" spans="1:22" x14ac:dyDescent="0.2">
      <c r="A46" s="7"/>
      <c r="B46" s="224"/>
      <c r="C46" s="224"/>
      <c r="D46" s="224"/>
    </row>
    <row r="48" spans="1:22" x14ac:dyDescent="0.2">
      <c r="A48" s="238"/>
      <c r="B48" s="238"/>
    </row>
    <row r="50" spans="1:4" x14ac:dyDescent="0.2">
      <c r="D50" s="143"/>
    </row>
    <row r="51" spans="1:4" x14ac:dyDescent="0.2">
      <c r="D51" s="184"/>
    </row>
    <row r="52" spans="1:4" x14ac:dyDescent="0.2">
      <c r="D52" s="184"/>
    </row>
    <row r="53" spans="1:4" x14ac:dyDescent="0.2">
      <c r="D53" s="184"/>
    </row>
    <row r="54" spans="1:4" x14ac:dyDescent="0.2">
      <c r="D54" s="184"/>
    </row>
    <row r="55" spans="1:4" x14ac:dyDescent="0.2">
      <c r="D55" s="184"/>
    </row>
    <row r="56" spans="1:4" x14ac:dyDescent="0.2">
      <c r="B56" s="67"/>
      <c r="C56" s="67"/>
      <c r="D56" s="184"/>
    </row>
    <row r="61" spans="1:4" x14ac:dyDescent="0.2">
      <c r="A61" s="238"/>
      <c r="B61" s="238"/>
    </row>
    <row r="63" spans="1:4" x14ac:dyDescent="0.2">
      <c r="D63" s="143"/>
    </row>
    <row r="64" spans="1:4" x14ac:dyDescent="0.2">
      <c r="D64" s="184"/>
    </row>
    <row r="65" spans="2:4" x14ac:dyDescent="0.2">
      <c r="D65" s="184"/>
    </row>
    <row r="66" spans="2:4" x14ac:dyDescent="0.2">
      <c r="D66" s="184"/>
    </row>
    <row r="67" spans="2:4" x14ac:dyDescent="0.2">
      <c r="D67" s="184"/>
    </row>
    <row r="68" spans="2:4" x14ac:dyDescent="0.2">
      <c r="D68" s="184"/>
    </row>
    <row r="69" spans="2:4" x14ac:dyDescent="0.2">
      <c r="B69" s="67"/>
      <c r="C69" s="67"/>
      <c r="D69" s="184"/>
    </row>
  </sheetData>
  <mergeCells count="2">
    <mergeCell ref="A2:I2"/>
    <mergeCell ref="A13:I13"/>
  </mergeCells>
  <pageMargins left="0.7" right="0.7" top="0.75" bottom="0.75" header="0.3" footer="0.3"/>
  <pageSetup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0816AE-6A15-EA4D-85B0-D427334CAA5C}">
  <sheetPr>
    <pageSetUpPr fitToPage="1"/>
  </sheetPr>
  <dimension ref="A1:IZ27"/>
  <sheetViews>
    <sheetView showGridLines="0" showRowColHeaders="0" showWhiteSpace="0" zoomScaleNormal="100" zoomScalePageLayoutView="80" workbookViewId="0">
      <selection activeCell="A18" sqref="A18:Q18"/>
    </sheetView>
  </sheetViews>
  <sheetFormatPr baseColWidth="10" defaultColWidth="6.625" defaultRowHeight="15" customHeight="1" x14ac:dyDescent="0.2"/>
  <cols>
    <col min="1" max="1" width="5" style="70" customWidth="1"/>
    <col min="2" max="2" width="9.75" style="9" customWidth="1"/>
    <col min="3" max="3" width="9" style="9" customWidth="1"/>
    <col min="4" max="4" width="6.375" style="9" customWidth="1"/>
    <col min="5" max="5" width="8.25" style="9" customWidth="1"/>
    <col min="6" max="6" width="9.375" style="9" bestFit="1" customWidth="1"/>
    <col min="7" max="8" width="6.5" style="9" customWidth="1"/>
    <col min="9" max="9" width="7.75" style="9" customWidth="1"/>
    <col min="10" max="10" width="9.875" style="9" bestFit="1" customWidth="1"/>
    <col min="11" max="11" width="6.875" style="33" customWidth="1"/>
    <col min="12" max="13" width="6.125" style="33" customWidth="1"/>
    <col min="14" max="14" width="7.375" style="9" customWidth="1"/>
    <col min="15" max="16" width="8.125" style="9" customWidth="1"/>
    <col min="17" max="17" width="24.125" style="35" customWidth="1"/>
    <col min="18" max="260" width="6.625" style="69" customWidth="1"/>
    <col min="261" max="16384" width="6.625" style="68"/>
  </cols>
  <sheetData>
    <row r="1" spans="1:260" ht="33" customHeight="1" thickBot="1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2" t="s">
        <v>7</v>
      </c>
      <c r="I1" s="4" t="s">
        <v>8</v>
      </c>
      <c r="J1" s="5" t="s">
        <v>9</v>
      </c>
      <c r="K1" s="30" t="s">
        <v>10</v>
      </c>
      <c r="L1" s="30" t="s">
        <v>11</v>
      </c>
      <c r="M1" s="30" t="s">
        <v>12</v>
      </c>
      <c r="N1" s="6" t="s">
        <v>13</v>
      </c>
      <c r="O1" s="59" t="s">
        <v>53</v>
      </c>
      <c r="P1" s="60"/>
      <c r="Q1" s="56" t="s">
        <v>16</v>
      </c>
    </row>
    <row r="2" spans="1:260" s="73" customFormat="1" ht="17.5" customHeight="1" x14ac:dyDescent="0.2">
      <c r="A2" s="17">
        <v>44352</v>
      </c>
      <c r="B2" s="39">
        <v>216</v>
      </c>
      <c r="C2" s="39">
        <v>9</v>
      </c>
      <c r="D2" s="40">
        <v>0</v>
      </c>
      <c r="E2" s="40">
        <v>387</v>
      </c>
      <c r="F2" s="40">
        <v>1010</v>
      </c>
      <c r="G2" s="40">
        <v>0</v>
      </c>
      <c r="H2" s="40">
        <v>0</v>
      </c>
      <c r="I2" s="41">
        <v>738.5</v>
      </c>
      <c r="J2" s="43">
        <f t="shared" ref="J2:J18" si="0">SUM(D2:I2)</f>
        <v>2135.5</v>
      </c>
      <c r="K2" s="42">
        <f t="shared" ref="K2:K18" si="1">SUM(E2+F2+G2+H2)/J2</f>
        <v>0.65417934909857178</v>
      </c>
      <c r="L2" s="42">
        <f t="shared" ref="L2:L17" si="2">SUM(G2+H2)/J2</f>
        <v>0</v>
      </c>
      <c r="M2" s="42">
        <f>(D2+I2)/J2</f>
        <v>0.34582065090142822</v>
      </c>
      <c r="N2" s="28">
        <f t="shared" ref="N2:N18" si="3">J2/B2</f>
        <v>9.8865740740740744</v>
      </c>
      <c r="O2" s="61"/>
      <c r="P2" s="62"/>
      <c r="Q2" s="57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  <c r="DE2" s="74"/>
      <c r="DF2" s="74"/>
      <c r="DG2" s="74"/>
      <c r="DH2" s="74"/>
      <c r="DI2" s="74"/>
      <c r="DJ2" s="74"/>
      <c r="DK2" s="74"/>
      <c r="DL2" s="74"/>
      <c r="DM2" s="74"/>
      <c r="DN2" s="74"/>
      <c r="DO2" s="74"/>
      <c r="DP2" s="74"/>
      <c r="DQ2" s="74"/>
      <c r="DR2" s="74"/>
      <c r="DS2" s="74"/>
      <c r="DT2" s="74"/>
      <c r="DU2" s="74"/>
      <c r="DV2" s="74"/>
      <c r="DW2" s="74"/>
      <c r="DX2" s="74"/>
      <c r="DY2" s="74"/>
      <c r="DZ2" s="74"/>
      <c r="EA2" s="74"/>
      <c r="EB2" s="74"/>
      <c r="EC2" s="74"/>
      <c r="ED2" s="74"/>
      <c r="EE2" s="74"/>
      <c r="EF2" s="74"/>
      <c r="EG2" s="74"/>
      <c r="EH2" s="74"/>
      <c r="EI2" s="74"/>
      <c r="EJ2" s="74"/>
      <c r="EK2" s="74"/>
      <c r="EL2" s="74"/>
      <c r="EM2" s="74"/>
      <c r="EN2" s="74"/>
      <c r="EO2" s="74"/>
      <c r="EP2" s="74"/>
      <c r="EQ2" s="74"/>
      <c r="ER2" s="74"/>
      <c r="ES2" s="74"/>
      <c r="ET2" s="74"/>
      <c r="EU2" s="74"/>
      <c r="EV2" s="74"/>
      <c r="EW2" s="74"/>
      <c r="EX2" s="74"/>
      <c r="EY2" s="74"/>
      <c r="EZ2" s="74"/>
      <c r="FA2" s="74"/>
      <c r="FB2" s="74"/>
      <c r="FC2" s="74"/>
      <c r="FD2" s="74"/>
      <c r="FE2" s="74"/>
      <c r="FF2" s="74"/>
      <c r="FG2" s="74"/>
      <c r="FH2" s="74"/>
      <c r="FI2" s="74"/>
      <c r="FJ2" s="74"/>
      <c r="FK2" s="74"/>
      <c r="FL2" s="74"/>
      <c r="FM2" s="74"/>
      <c r="FN2" s="74"/>
      <c r="FO2" s="74"/>
      <c r="FP2" s="74"/>
      <c r="FQ2" s="74"/>
      <c r="FR2" s="74"/>
      <c r="FS2" s="74"/>
      <c r="FT2" s="74"/>
      <c r="FU2" s="74"/>
      <c r="FV2" s="74"/>
      <c r="FW2" s="74"/>
      <c r="FX2" s="74"/>
      <c r="FY2" s="74"/>
      <c r="FZ2" s="74"/>
      <c r="GA2" s="74"/>
      <c r="GB2" s="74"/>
      <c r="GC2" s="74"/>
      <c r="GD2" s="74"/>
      <c r="GE2" s="74"/>
      <c r="GF2" s="74"/>
      <c r="GG2" s="74"/>
      <c r="GH2" s="74"/>
      <c r="GI2" s="74"/>
      <c r="GJ2" s="74"/>
      <c r="GK2" s="74"/>
      <c r="GL2" s="74"/>
      <c r="GM2" s="74"/>
      <c r="GN2" s="74"/>
      <c r="GO2" s="74"/>
      <c r="GP2" s="74"/>
      <c r="GQ2" s="74"/>
      <c r="GR2" s="74"/>
      <c r="GS2" s="74"/>
      <c r="GT2" s="74"/>
      <c r="GU2" s="74"/>
      <c r="GV2" s="74"/>
      <c r="GW2" s="74"/>
      <c r="GX2" s="74"/>
      <c r="GY2" s="74"/>
      <c r="GZ2" s="74"/>
      <c r="HA2" s="74"/>
      <c r="HB2" s="74"/>
      <c r="HC2" s="74"/>
      <c r="HD2" s="74"/>
      <c r="HE2" s="74"/>
      <c r="HF2" s="74"/>
      <c r="HG2" s="74"/>
      <c r="HH2" s="74"/>
      <c r="HI2" s="74"/>
      <c r="HJ2" s="74"/>
      <c r="HK2" s="74"/>
      <c r="HL2" s="74"/>
      <c r="HM2" s="74"/>
      <c r="HN2" s="74"/>
      <c r="HO2" s="74"/>
      <c r="HP2" s="74"/>
      <c r="HQ2" s="74"/>
      <c r="HR2" s="74"/>
      <c r="HS2" s="74"/>
      <c r="HT2" s="74"/>
      <c r="HU2" s="74"/>
      <c r="HV2" s="74"/>
      <c r="HW2" s="74"/>
      <c r="HX2" s="74"/>
      <c r="HY2" s="74"/>
      <c r="HZ2" s="74"/>
      <c r="IA2" s="74"/>
      <c r="IB2" s="74"/>
      <c r="IC2" s="74"/>
      <c r="ID2" s="74"/>
      <c r="IE2" s="74"/>
      <c r="IF2" s="74"/>
      <c r="IG2" s="74"/>
      <c r="IH2" s="74"/>
      <c r="II2" s="74"/>
      <c r="IJ2" s="74"/>
      <c r="IK2" s="74"/>
      <c r="IL2" s="74"/>
      <c r="IM2" s="74"/>
      <c r="IN2" s="74"/>
      <c r="IO2" s="74"/>
      <c r="IP2" s="74"/>
      <c r="IQ2" s="74"/>
      <c r="IR2" s="74"/>
      <c r="IS2" s="74"/>
      <c r="IT2" s="74"/>
      <c r="IU2" s="74"/>
      <c r="IV2" s="74"/>
      <c r="IW2" s="74"/>
      <c r="IX2" s="74"/>
      <c r="IY2" s="74"/>
      <c r="IZ2" s="74"/>
    </row>
    <row r="3" spans="1:260" ht="17" customHeight="1" x14ac:dyDescent="0.2">
      <c r="A3" s="18">
        <v>44359</v>
      </c>
      <c r="B3" s="19">
        <v>253</v>
      </c>
      <c r="C3" s="19">
        <v>9</v>
      </c>
      <c r="D3" s="40">
        <v>90</v>
      </c>
      <c r="E3" s="40">
        <v>770</v>
      </c>
      <c r="F3" s="40">
        <v>870</v>
      </c>
      <c r="G3" s="40">
        <v>24</v>
      </c>
      <c r="H3" s="40">
        <v>0</v>
      </c>
      <c r="I3" s="41">
        <v>1511.5</v>
      </c>
      <c r="J3" s="43">
        <f t="shared" si="0"/>
        <v>3265.5</v>
      </c>
      <c r="K3" s="42">
        <f t="shared" si="1"/>
        <v>0.50956974429643243</v>
      </c>
      <c r="L3" s="31">
        <f t="shared" si="2"/>
        <v>7.3495636196600827E-3</v>
      </c>
      <c r="M3" s="31">
        <f>I3/J3</f>
        <v>0.46286939212984229</v>
      </c>
      <c r="N3" s="28">
        <f t="shared" si="3"/>
        <v>12.90711462450593</v>
      </c>
      <c r="O3" s="61">
        <v>10</v>
      </c>
      <c r="P3" s="63"/>
      <c r="Q3" s="58"/>
    </row>
    <row r="4" spans="1:260" ht="17" customHeight="1" x14ac:dyDescent="0.2">
      <c r="A4" s="18">
        <v>44366</v>
      </c>
      <c r="B4" s="19">
        <v>311</v>
      </c>
      <c r="C4" s="19">
        <v>12</v>
      </c>
      <c r="D4" s="40">
        <v>45</v>
      </c>
      <c r="E4" s="40">
        <v>920</v>
      </c>
      <c r="F4" s="40">
        <v>1164</v>
      </c>
      <c r="G4" s="40">
        <v>30</v>
      </c>
      <c r="H4" s="40">
        <v>0</v>
      </c>
      <c r="I4" s="41">
        <v>1532.5</v>
      </c>
      <c r="J4" s="43">
        <f t="shared" si="0"/>
        <v>3691.5</v>
      </c>
      <c r="K4" s="42">
        <f t="shared" si="1"/>
        <v>0.57266693755925779</v>
      </c>
      <c r="L4" s="31">
        <f t="shared" si="2"/>
        <v>8.126777732629013E-3</v>
      </c>
      <c r="M4" s="31">
        <f>(D4+I4)/J4</f>
        <v>0.42733306244074226</v>
      </c>
      <c r="N4" s="28">
        <f t="shared" si="3"/>
        <v>11.869774919614148</v>
      </c>
      <c r="O4" s="61">
        <v>10</v>
      </c>
      <c r="P4" s="63"/>
      <c r="Q4" s="58"/>
    </row>
    <row r="5" spans="1:260" ht="17" customHeight="1" x14ac:dyDescent="0.2">
      <c r="A5" s="17">
        <v>44373</v>
      </c>
      <c r="B5" s="19">
        <v>176</v>
      </c>
      <c r="C5" s="19">
        <v>5</v>
      </c>
      <c r="D5" s="40">
        <v>40</v>
      </c>
      <c r="E5" s="40">
        <v>750</v>
      </c>
      <c r="F5" s="40">
        <v>855</v>
      </c>
      <c r="G5" s="40">
        <v>0</v>
      </c>
      <c r="H5" s="40">
        <v>4</v>
      </c>
      <c r="I5" s="41">
        <v>206</v>
      </c>
      <c r="J5" s="43">
        <f t="shared" si="0"/>
        <v>1855</v>
      </c>
      <c r="K5" s="42">
        <f t="shared" si="1"/>
        <v>0.86738544474393531</v>
      </c>
      <c r="L5" s="38">
        <f t="shared" si="2"/>
        <v>2.1563342318059301E-3</v>
      </c>
      <c r="M5" s="31">
        <f>(D5+I5)/J5</f>
        <v>0.13261455525606469</v>
      </c>
      <c r="N5" s="28">
        <f t="shared" si="3"/>
        <v>10.539772727272727</v>
      </c>
      <c r="O5" s="61"/>
      <c r="P5" s="63"/>
      <c r="Q5" s="58" t="s">
        <v>52</v>
      </c>
    </row>
    <row r="6" spans="1:260" ht="17" customHeight="1" x14ac:dyDescent="0.2">
      <c r="A6" s="18">
        <v>44380</v>
      </c>
      <c r="B6" s="19">
        <v>342</v>
      </c>
      <c r="C6" s="19">
        <v>13</v>
      </c>
      <c r="D6" s="40">
        <v>0</v>
      </c>
      <c r="E6" s="40">
        <v>1008</v>
      </c>
      <c r="F6" s="40">
        <v>1344</v>
      </c>
      <c r="G6" s="40">
        <v>8</v>
      </c>
      <c r="H6" s="40">
        <v>16</v>
      </c>
      <c r="I6" s="41">
        <v>1963</v>
      </c>
      <c r="J6" s="43">
        <f t="shared" si="0"/>
        <v>4339</v>
      </c>
      <c r="K6" s="42">
        <f t="shared" si="1"/>
        <v>0.54759161097026965</v>
      </c>
      <c r="L6" s="38">
        <f t="shared" si="2"/>
        <v>5.5312283936390875E-3</v>
      </c>
      <c r="M6" s="31">
        <f>I6/J6</f>
        <v>0.45240838902973035</v>
      </c>
      <c r="N6" s="28">
        <f t="shared" si="3"/>
        <v>12.687134502923977</v>
      </c>
      <c r="O6" s="61">
        <v>8</v>
      </c>
      <c r="P6" s="63"/>
      <c r="Q6" s="58"/>
    </row>
    <row r="7" spans="1:260" ht="17" customHeight="1" x14ac:dyDescent="0.2">
      <c r="A7" s="18">
        <v>44387</v>
      </c>
      <c r="B7" s="19">
        <v>254</v>
      </c>
      <c r="C7" s="19">
        <v>12</v>
      </c>
      <c r="D7" s="40">
        <v>25</v>
      </c>
      <c r="E7" s="40">
        <v>673</v>
      </c>
      <c r="F7" s="40">
        <v>1145</v>
      </c>
      <c r="G7" s="40">
        <v>20</v>
      </c>
      <c r="H7" s="40">
        <v>8</v>
      </c>
      <c r="I7" s="41">
        <v>885</v>
      </c>
      <c r="J7" s="43">
        <f t="shared" si="0"/>
        <v>2756</v>
      </c>
      <c r="K7" s="42">
        <f t="shared" si="1"/>
        <v>0.66981132075471694</v>
      </c>
      <c r="L7" s="38">
        <f t="shared" si="2"/>
        <v>1.0159651669085631E-2</v>
      </c>
      <c r="M7" s="31">
        <f>(D7+I7)/J7</f>
        <v>0.330188679245283</v>
      </c>
      <c r="N7" s="28">
        <f t="shared" si="3"/>
        <v>10.850393700787402</v>
      </c>
      <c r="O7" s="61">
        <v>10</v>
      </c>
      <c r="P7" s="63"/>
      <c r="Q7" s="58"/>
    </row>
    <row r="8" spans="1:260" ht="17" customHeight="1" x14ac:dyDescent="0.2">
      <c r="A8" s="17">
        <v>44394</v>
      </c>
      <c r="B8" s="19">
        <v>259</v>
      </c>
      <c r="C8" s="22">
        <v>8</v>
      </c>
      <c r="D8" s="40">
        <v>15</v>
      </c>
      <c r="E8" s="40">
        <v>800</v>
      </c>
      <c r="F8" s="40">
        <v>643.12</v>
      </c>
      <c r="G8" s="40">
        <v>0</v>
      </c>
      <c r="H8" s="40">
        <v>14</v>
      </c>
      <c r="I8" s="41">
        <v>490</v>
      </c>
      <c r="J8" s="43">
        <f t="shared" si="0"/>
        <v>1962.12</v>
      </c>
      <c r="K8" s="42">
        <f t="shared" si="1"/>
        <v>0.74262532362954359</v>
      </c>
      <c r="L8" s="38">
        <f t="shared" si="2"/>
        <v>7.1351395429433478E-3</v>
      </c>
      <c r="M8" s="31">
        <f>(D8+I8)/J8</f>
        <v>0.25737467637045647</v>
      </c>
      <c r="N8" s="28">
        <f t="shared" si="3"/>
        <v>7.5757528957528955</v>
      </c>
      <c r="O8" s="61"/>
      <c r="P8" s="63"/>
      <c r="Q8" s="58"/>
    </row>
    <row r="9" spans="1:260" ht="17" customHeight="1" x14ac:dyDescent="0.2">
      <c r="A9" s="18">
        <v>44401</v>
      </c>
      <c r="B9" s="21">
        <v>334</v>
      </c>
      <c r="C9" s="23">
        <v>13</v>
      </c>
      <c r="D9" s="40">
        <v>200</v>
      </c>
      <c r="E9" s="40">
        <v>1100</v>
      </c>
      <c r="F9" s="40">
        <v>2343.91</v>
      </c>
      <c r="G9" s="40">
        <v>0</v>
      </c>
      <c r="H9" s="40">
        <v>60</v>
      </c>
      <c r="I9" s="41">
        <v>1705.75</v>
      </c>
      <c r="J9" s="43">
        <f t="shared" si="0"/>
        <v>5409.66</v>
      </c>
      <c r="K9" s="42">
        <f t="shared" si="1"/>
        <v>0.64771353467685588</v>
      </c>
      <c r="L9" s="31">
        <f t="shared" si="2"/>
        <v>1.1091270061334724E-2</v>
      </c>
      <c r="M9" s="31">
        <f>I9/J9</f>
        <v>0.31531556511869507</v>
      </c>
      <c r="N9" s="28">
        <f t="shared" si="3"/>
        <v>16.196586826347303</v>
      </c>
      <c r="O9" s="61"/>
      <c r="P9" s="63"/>
      <c r="Q9" s="58" t="s">
        <v>51</v>
      </c>
    </row>
    <row r="10" spans="1:260" ht="17" customHeight="1" x14ac:dyDescent="0.2">
      <c r="A10" s="18">
        <v>44408</v>
      </c>
      <c r="B10" s="19">
        <v>357</v>
      </c>
      <c r="C10" s="22">
        <v>9</v>
      </c>
      <c r="D10" s="40">
        <v>40</v>
      </c>
      <c r="E10" s="40">
        <v>700</v>
      </c>
      <c r="F10" s="40">
        <v>817</v>
      </c>
      <c r="G10" s="40">
        <v>8</v>
      </c>
      <c r="H10" s="40">
        <v>12</v>
      </c>
      <c r="I10" s="41">
        <v>1121</v>
      </c>
      <c r="J10" s="43">
        <f t="shared" si="0"/>
        <v>2698</v>
      </c>
      <c r="K10" s="42">
        <f t="shared" si="1"/>
        <v>0.56968124536693843</v>
      </c>
      <c r="L10" s="31">
        <f t="shared" si="2"/>
        <v>7.4128984432913266E-3</v>
      </c>
      <c r="M10" s="31">
        <f>(D10+I10)/J10</f>
        <v>0.43031875463306152</v>
      </c>
      <c r="N10" s="28">
        <f t="shared" si="3"/>
        <v>7.5574229691876749</v>
      </c>
      <c r="O10" s="61"/>
      <c r="P10" s="63"/>
      <c r="Q10" s="58"/>
    </row>
    <row r="11" spans="1:260" ht="17" customHeight="1" x14ac:dyDescent="0.2">
      <c r="A11" s="17">
        <v>44415</v>
      </c>
      <c r="B11" s="22">
        <v>205</v>
      </c>
      <c r="C11" s="22">
        <v>12</v>
      </c>
      <c r="D11" s="40">
        <v>0</v>
      </c>
      <c r="E11" s="40">
        <v>822</v>
      </c>
      <c r="F11" s="40">
        <v>1243.3</v>
      </c>
      <c r="G11" s="40">
        <v>77</v>
      </c>
      <c r="H11" s="40">
        <v>32</v>
      </c>
      <c r="I11" s="41">
        <v>1592</v>
      </c>
      <c r="J11" s="43">
        <f t="shared" ref="J11:J17" si="4">SUM(D11:I11)</f>
        <v>3766.3</v>
      </c>
      <c r="K11" s="42">
        <f t="shared" ref="K11:K17" si="5">SUM(E11+F11+G11+H11)/J11</f>
        <v>0.57730398534370608</v>
      </c>
      <c r="L11" s="31">
        <f t="shared" si="2"/>
        <v>2.8940870350211079E-2</v>
      </c>
      <c r="M11" s="31">
        <f>I11/J11</f>
        <v>0.42269601465629397</v>
      </c>
      <c r="N11" s="28">
        <f t="shared" si="3"/>
        <v>18.372195121951222</v>
      </c>
      <c r="O11" s="61"/>
      <c r="P11" s="63"/>
      <c r="Q11" s="58"/>
    </row>
    <row r="12" spans="1:260" ht="17" customHeight="1" x14ac:dyDescent="0.2">
      <c r="A12" s="18">
        <v>44422</v>
      </c>
      <c r="B12" s="22">
        <v>266</v>
      </c>
      <c r="C12" s="22">
        <v>7</v>
      </c>
      <c r="D12" s="40">
        <v>50</v>
      </c>
      <c r="E12" s="40">
        <v>888</v>
      </c>
      <c r="F12" s="40">
        <v>524</v>
      </c>
      <c r="G12" s="40">
        <v>65</v>
      </c>
      <c r="H12" s="40">
        <v>36</v>
      </c>
      <c r="I12" s="41">
        <v>1434</v>
      </c>
      <c r="J12" s="43">
        <f t="shared" si="4"/>
        <v>2997</v>
      </c>
      <c r="K12" s="42">
        <f t="shared" si="5"/>
        <v>0.50483817150483812</v>
      </c>
      <c r="L12" s="31">
        <f t="shared" si="2"/>
        <v>3.3700367033700364E-2</v>
      </c>
      <c r="M12" s="31">
        <f>(D12+I12)/J12</f>
        <v>0.49516182849516183</v>
      </c>
      <c r="N12" s="28">
        <f t="shared" si="3"/>
        <v>11.266917293233083</v>
      </c>
      <c r="O12" s="61"/>
      <c r="P12" s="63"/>
      <c r="Q12" s="58"/>
    </row>
    <row r="13" spans="1:260" s="73" customFormat="1" ht="17" customHeight="1" x14ac:dyDescent="0.2">
      <c r="A13" s="18">
        <v>44429</v>
      </c>
      <c r="B13" s="22">
        <v>557</v>
      </c>
      <c r="C13" s="22">
        <v>13</v>
      </c>
      <c r="D13" s="40">
        <v>200</v>
      </c>
      <c r="E13" s="40">
        <v>1700</v>
      </c>
      <c r="F13" s="40">
        <v>3471.54</v>
      </c>
      <c r="G13" s="40">
        <v>107</v>
      </c>
      <c r="H13" s="40">
        <v>88</v>
      </c>
      <c r="I13" s="41">
        <v>2051.5</v>
      </c>
      <c r="J13" s="43">
        <f t="shared" si="4"/>
        <v>7618.04</v>
      </c>
      <c r="K13" s="42">
        <f t="shared" si="5"/>
        <v>0.7044515387159952</v>
      </c>
      <c r="L13" s="31">
        <f t="shared" si="2"/>
        <v>2.5597135221132994E-2</v>
      </c>
      <c r="M13" s="31">
        <f>I13/J13</f>
        <v>0.26929498926232992</v>
      </c>
      <c r="N13" s="28">
        <f t="shared" si="3"/>
        <v>13.676912028725313</v>
      </c>
      <c r="O13" s="61"/>
      <c r="P13" s="63"/>
      <c r="Q13" s="57" t="s">
        <v>38</v>
      </c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  <c r="DV13" s="74"/>
      <c r="DW13" s="74"/>
      <c r="DX13" s="74"/>
      <c r="DY13" s="74"/>
      <c r="DZ13" s="74"/>
      <c r="EA13" s="74"/>
      <c r="EB13" s="74"/>
      <c r="EC13" s="74"/>
      <c r="ED13" s="74"/>
      <c r="EE13" s="74"/>
      <c r="EF13" s="74"/>
      <c r="EG13" s="74"/>
      <c r="EH13" s="74"/>
      <c r="EI13" s="74"/>
      <c r="EJ13" s="74"/>
      <c r="EK13" s="74"/>
      <c r="EL13" s="74"/>
      <c r="EM13" s="74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/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M13" s="74"/>
      <c r="GN13" s="74"/>
      <c r="GO13" s="74"/>
      <c r="GP13" s="74"/>
      <c r="GQ13" s="74"/>
      <c r="GR13" s="74"/>
      <c r="GS13" s="74"/>
      <c r="GT13" s="74"/>
      <c r="GU13" s="74"/>
      <c r="GV13" s="74"/>
      <c r="GW13" s="74"/>
      <c r="GX13" s="74"/>
      <c r="GY13" s="74"/>
      <c r="GZ13" s="74"/>
      <c r="HA13" s="74"/>
      <c r="HB13" s="74"/>
      <c r="HC13" s="74"/>
      <c r="HD13" s="74"/>
      <c r="HE13" s="74"/>
      <c r="HF13" s="74"/>
      <c r="HG13" s="74"/>
      <c r="HH13" s="74"/>
      <c r="HI13" s="74"/>
      <c r="HJ13" s="74"/>
      <c r="HK13" s="74"/>
      <c r="HL13" s="74"/>
      <c r="HM13" s="74"/>
      <c r="HN13" s="74"/>
      <c r="HO13" s="74"/>
      <c r="HP13" s="74"/>
      <c r="HQ13" s="74"/>
      <c r="HR13" s="74"/>
      <c r="HS13" s="74"/>
      <c r="HT13" s="74"/>
      <c r="HU13" s="74"/>
      <c r="HV13" s="74"/>
      <c r="HW13" s="74"/>
      <c r="HX13" s="74"/>
      <c r="HY13" s="74"/>
      <c r="HZ13" s="74"/>
      <c r="IA13" s="74"/>
      <c r="IB13" s="74"/>
      <c r="IC13" s="74"/>
      <c r="ID13" s="74"/>
      <c r="IE13" s="74"/>
      <c r="IF13" s="74"/>
      <c r="IG13" s="74"/>
      <c r="IH13" s="74"/>
      <c r="II13" s="74"/>
      <c r="IJ13" s="74"/>
      <c r="IK13" s="74"/>
      <c r="IL13" s="74"/>
      <c r="IM13" s="74"/>
      <c r="IN13" s="74"/>
      <c r="IO13" s="74"/>
      <c r="IP13" s="74"/>
      <c r="IQ13" s="74"/>
      <c r="IR13" s="74"/>
      <c r="IS13" s="74"/>
      <c r="IT13" s="74"/>
      <c r="IU13" s="74"/>
      <c r="IV13" s="74"/>
      <c r="IW13" s="74"/>
      <c r="IX13" s="74"/>
      <c r="IY13" s="74"/>
      <c r="IZ13" s="74"/>
    </row>
    <row r="14" spans="1:260" ht="17" customHeight="1" x14ac:dyDescent="0.2">
      <c r="A14" s="17">
        <v>44436</v>
      </c>
      <c r="B14" s="22">
        <v>202</v>
      </c>
      <c r="C14" s="22">
        <v>11</v>
      </c>
      <c r="D14" s="40">
        <v>40</v>
      </c>
      <c r="E14" s="40">
        <v>550</v>
      </c>
      <c r="F14" s="40">
        <v>577.5521</v>
      </c>
      <c r="G14" s="40">
        <v>21</v>
      </c>
      <c r="H14" s="40">
        <v>32</v>
      </c>
      <c r="I14" s="41">
        <v>1088.5</v>
      </c>
      <c r="J14" s="43">
        <f t="shared" si="4"/>
        <v>2309.0520999999999</v>
      </c>
      <c r="K14" s="42">
        <f t="shared" si="5"/>
        <v>0.51127131345368948</v>
      </c>
      <c r="L14" s="31">
        <f t="shared" si="2"/>
        <v>2.295314168095211E-2</v>
      </c>
      <c r="M14" s="31">
        <f t="shared" ref="M14:M17" si="6">(D14+I14)/J14</f>
        <v>0.48872868654631052</v>
      </c>
      <c r="N14" s="28">
        <f t="shared" si="3"/>
        <v>11.43095099009901</v>
      </c>
      <c r="O14" s="61"/>
      <c r="P14" s="63"/>
      <c r="Q14" s="58"/>
    </row>
    <row r="15" spans="1:260" ht="17" customHeight="1" x14ac:dyDescent="0.2">
      <c r="A15" s="18">
        <v>44443</v>
      </c>
      <c r="B15" s="22">
        <v>186</v>
      </c>
      <c r="C15" s="22">
        <v>9</v>
      </c>
      <c r="D15" s="40">
        <v>56</v>
      </c>
      <c r="E15" s="40">
        <v>1000</v>
      </c>
      <c r="F15" s="40">
        <v>1410.5</v>
      </c>
      <c r="G15" s="40">
        <v>60</v>
      </c>
      <c r="H15" s="40">
        <v>68</v>
      </c>
      <c r="I15" s="41">
        <v>1233</v>
      </c>
      <c r="J15" s="43">
        <f t="shared" si="4"/>
        <v>3827.5</v>
      </c>
      <c r="K15" s="42">
        <f t="shared" si="5"/>
        <v>0.66322664924885699</v>
      </c>
      <c r="L15" s="31">
        <f t="shared" si="2"/>
        <v>3.3442194644023517E-2</v>
      </c>
      <c r="M15" s="31">
        <f t="shared" si="6"/>
        <v>0.33677335075114306</v>
      </c>
      <c r="N15" s="28">
        <f t="shared" si="3"/>
        <v>20.577956989247312</v>
      </c>
      <c r="O15" s="61"/>
      <c r="P15" s="63"/>
      <c r="Q15" s="58"/>
    </row>
    <row r="16" spans="1:260" ht="17" customHeight="1" x14ac:dyDescent="0.2">
      <c r="A16" s="18">
        <v>44450</v>
      </c>
      <c r="B16" s="22">
        <v>183</v>
      </c>
      <c r="C16" s="22">
        <v>9</v>
      </c>
      <c r="D16" s="40">
        <v>70</v>
      </c>
      <c r="E16" s="40">
        <v>509</v>
      </c>
      <c r="F16" s="40">
        <v>734.1</v>
      </c>
      <c r="G16" s="40">
        <v>44</v>
      </c>
      <c r="H16" s="40">
        <v>32</v>
      </c>
      <c r="I16" s="41">
        <v>967</v>
      </c>
      <c r="J16" s="43">
        <f t="shared" si="4"/>
        <v>2356.1</v>
      </c>
      <c r="K16" s="42">
        <f t="shared" si="5"/>
        <v>0.55986588005602478</v>
      </c>
      <c r="L16" s="31">
        <f t="shared" si="2"/>
        <v>3.2256695386443698E-2</v>
      </c>
      <c r="M16" s="31">
        <f t="shared" si="6"/>
        <v>0.44013411994397522</v>
      </c>
      <c r="N16" s="28">
        <f t="shared" si="3"/>
        <v>12.874863387978142</v>
      </c>
      <c r="O16" s="61"/>
      <c r="P16" s="63"/>
      <c r="Q16" s="58"/>
    </row>
    <row r="17" spans="1:260" ht="17" customHeight="1" x14ac:dyDescent="0.2">
      <c r="A17" s="17">
        <v>44457</v>
      </c>
      <c r="B17" s="22">
        <v>134</v>
      </c>
      <c r="C17" s="22">
        <v>6</v>
      </c>
      <c r="D17" s="40">
        <v>100</v>
      </c>
      <c r="E17" s="40">
        <v>380</v>
      </c>
      <c r="F17" s="40">
        <v>618</v>
      </c>
      <c r="G17" s="40">
        <v>0</v>
      </c>
      <c r="H17" s="40">
        <v>0</v>
      </c>
      <c r="I17" s="41">
        <v>613</v>
      </c>
      <c r="J17" s="43">
        <f t="shared" si="4"/>
        <v>1711</v>
      </c>
      <c r="K17" s="42">
        <f t="shared" si="5"/>
        <v>0.58328462887200472</v>
      </c>
      <c r="L17" s="31">
        <f t="shared" si="2"/>
        <v>0</v>
      </c>
      <c r="M17" s="31">
        <f t="shared" si="6"/>
        <v>0.41671537112799534</v>
      </c>
      <c r="N17" s="28">
        <f t="shared" si="3"/>
        <v>12.76865671641791</v>
      </c>
      <c r="O17" s="61"/>
      <c r="P17" s="63"/>
      <c r="Q17" s="58" t="s">
        <v>101</v>
      </c>
    </row>
    <row r="18" spans="1:260" s="73" customFormat="1" ht="17" customHeight="1" x14ac:dyDescent="0.2">
      <c r="A18" s="18"/>
      <c r="B18" s="24"/>
      <c r="C18" s="24"/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1">
        <v>0</v>
      </c>
      <c r="J18" s="43">
        <f t="shared" si="0"/>
        <v>0</v>
      </c>
      <c r="K18" s="42" t="e">
        <f t="shared" si="1"/>
        <v>#DIV/0!</v>
      </c>
      <c r="L18" s="32" t="e">
        <f>(G18+H18)/J18</f>
        <v>#DIV/0!</v>
      </c>
      <c r="M18" s="32" t="e">
        <f t="shared" ref="M18" si="7">(D18+I18)/J18</f>
        <v>#DIV/0!</v>
      </c>
      <c r="N18" s="29" t="e">
        <f t="shared" si="3"/>
        <v>#DIV/0!</v>
      </c>
      <c r="O18" s="61">
        <v>0</v>
      </c>
      <c r="P18" s="63"/>
      <c r="Q18" s="58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4"/>
      <c r="EE18" s="74"/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/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M18" s="74"/>
      <c r="GN18" s="74"/>
      <c r="GO18" s="74"/>
      <c r="GP18" s="74"/>
      <c r="GQ18" s="74"/>
      <c r="GR18" s="74"/>
      <c r="GS18" s="74"/>
      <c r="GT18" s="74"/>
      <c r="GU18" s="74"/>
      <c r="GV18" s="74"/>
      <c r="GW18" s="74"/>
      <c r="GX18" s="74"/>
      <c r="GY18" s="74"/>
      <c r="GZ18" s="74"/>
      <c r="HA18" s="74"/>
      <c r="HB18" s="74"/>
      <c r="HC18" s="74"/>
      <c r="HD18" s="74"/>
      <c r="HE18" s="74"/>
      <c r="HF18" s="74"/>
      <c r="HG18" s="74"/>
      <c r="HH18" s="74"/>
      <c r="HI18" s="74"/>
      <c r="HJ18" s="74"/>
      <c r="HK18" s="74"/>
      <c r="HL18" s="74"/>
      <c r="HM18" s="74"/>
      <c r="HN18" s="74"/>
      <c r="HO18" s="74"/>
      <c r="HP18" s="74"/>
      <c r="HQ18" s="74"/>
      <c r="HR18" s="74"/>
      <c r="HS18" s="74"/>
      <c r="HT18" s="74"/>
      <c r="HU18" s="74"/>
      <c r="HV18" s="74"/>
      <c r="HW18" s="74"/>
      <c r="HX18" s="74"/>
      <c r="HY18" s="74"/>
      <c r="HZ18" s="74"/>
      <c r="IA18" s="74"/>
      <c r="IB18" s="74"/>
      <c r="IC18" s="74"/>
      <c r="ID18" s="74"/>
      <c r="IE18" s="74"/>
      <c r="IF18" s="74"/>
      <c r="IG18" s="74"/>
      <c r="IH18" s="74"/>
      <c r="II18" s="74"/>
      <c r="IJ18" s="74"/>
      <c r="IK18" s="74"/>
      <c r="IL18" s="74"/>
      <c r="IM18" s="74"/>
      <c r="IN18" s="74"/>
      <c r="IO18" s="74"/>
      <c r="IP18" s="74"/>
      <c r="IQ18" s="74"/>
      <c r="IR18" s="74"/>
      <c r="IS18" s="74"/>
      <c r="IT18" s="74"/>
      <c r="IU18" s="74"/>
      <c r="IV18" s="74"/>
      <c r="IW18" s="74"/>
      <c r="IX18" s="74"/>
      <c r="IY18" s="74"/>
      <c r="IZ18" s="74"/>
    </row>
    <row r="19" spans="1:260" ht="17" customHeight="1" x14ac:dyDescent="0.2">
      <c r="A19" s="27"/>
      <c r="B19" s="24"/>
      <c r="C19" s="24"/>
      <c r="D19" s="55"/>
      <c r="E19" s="25"/>
      <c r="F19" s="25"/>
      <c r="G19" s="25"/>
      <c r="H19" s="25"/>
      <c r="I19" s="26"/>
      <c r="J19" s="8"/>
      <c r="K19" s="32"/>
      <c r="L19" s="32"/>
      <c r="M19" s="32"/>
      <c r="N19" s="29"/>
      <c r="O19" s="64"/>
      <c r="P19" s="63"/>
    </row>
    <row r="20" spans="1:260" ht="17" customHeight="1" x14ac:dyDescent="0.2">
      <c r="A20" s="27"/>
      <c r="B20" s="24" t="s">
        <v>23</v>
      </c>
      <c r="C20" s="24" t="s">
        <v>24</v>
      </c>
      <c r="D20" s="24"/>
      <c r="E20" s="25"/>
      <c r="F20" s="25"/>
      <c r="G20" s="25"/>
      <c r="H20" s="25"/>
      <c r="I20" s="26"/>
      <c r="J20" s="8"/>
      <c r="K20" s="32"/>
      <c r="L20" s="32"/>
      <c r="M20" s="32"/>
      <c r="N20" s="29"/>
      <c r="O20" s="64"/>
      <c r="P20" s="63"/>
    </row>
    <row r="21" spans="1:260" ht="17" customHeight="1" x14ac:dyDescent="0.2">
      <c r="A21" s="46"/>
      <c r="B21" s="47">
        <f>SUM(B2:B20)</f>
        <v>4235</v>
      </c>
      <c r="C21" s="48">
        <f>AVERAGE(C2:C16)</f>
        <v>10.066666666666666</v>
      </c>
      <c r="D21" s="49">
        <f t="shared" ref="D21:J21" si="8">SUM(D2:D20)</f>
        <v>971</v>
      </c>
      <c r="E21" s="50">
        <f t="shared" si="8"/>
        <v>12957</v>
      </c>
      <c r="F21" s="50">
        <f t="shared" si="8"/>
        <v>18771.022099999998</v>
      </c>
      <c r="G21" s="50">
        <f t="shared" si="8"/>
        <v>464</v>
      </c>
      <c r="H21" s="50">
        <f t="shared" si="8"/>
        <v>402</v>
      </c>
      <c r="I21" s="85">
        <f t="shared" si="8"/>
        <v>19132.25</v>
      </c>
      <c r="J21" s="45">
        <f t="shared" si="8"/>
        <v>52697.272100000002</v>
      </c>
      <c r="K21" s="51">
        <f>SUM(E21+F21+G21+H21)/J21</f>
        <v>0.61851440883217934</v>
      </c>
      <c r="L21" s="51">
        <f>SUM(G21+H21)/J21</f>
        <v>1.6433488214658457E-2</v>
      </c>
      <c r="M21" s="51">
        <f>SUM(D21+I21)/J21</f>
        <v>0.3814855911678206</v>
      </c>
      <c r="N21" s="44">
        <f>J21/B21</f>
        <v>12.443275584415584</v>
      </c>
      <c r="O21" s="65">
        <f>SUM(O2:O20)</f>
        <v>38</v>
      </c>
      <c r="P21" s="66">
        <f>SUM(P2:P16)</f>
        <v>0</v>
      </c>
      <c r="Q21" s="52"/>
    </row>
    <row r="22" spans="1:260" s="54" customFormat="1" ht="15.75" customHeight="1" x14ac:dyDescent="0.2">
      <c r="A22" s="71"/>
      <c r="B22" s="9"/>
      <c r="C22" s="9"/>
      <c r="D22" s="9"/>
      <c r="E22" s="9"/>
      <c r="F22" s="10"/>
      <c r="G22" s="10"/>
      <c r="H22" s="9"/>
      <c r="I22" s="9"/>
      <c r="J22" s="9"/>
      <c r="K22" s="33"/>
      <c r="L22" s="33"/>
      <c r="M22" s="33"/>
      <c r="N22" s="9"/>
      <c r="O22" s="9"/>
      <c r="P22" s="9"/>
      <c r="Q22" s="35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  <c r="IR22" s="53"/>
      <c r="IS22" s="53"/>
      <c r="IT22" s="53"/>
      <c r="IU22" s="53"/>
      <c r="IV22" s="53"/>
      <c r="IW22" s="53"/>
      <c r="IX22" s="53"/>
      <c r="IY22" s="53"/>
      <c r="IZ22" s="53"/>
    </row>
    <row r="23" spans="1:260" ht="15" customHeight="1" x14ac:dyDescent="0.2">
      <c r="D23" s="11"/>
      <c r="E23" s="12"/>
      <c r="F23" s="10"/>
      <c r="G23" s="10"/>
    </row>
    <row r="24" spans="1:260" ht="15" customHeight="1" x14ac:dyDescent="0.2">
      <c r="A24" s="13" t="s">
        <v>25</v>
      </c>
      <c r="G24" s="14"/>
      <c r="J24" s="14"/>
    </row>
    <row r="25" spans="1:260" ht="15" customHeight="1" x14ac:dyDescent="0.2">
      <c r="A25" s="13" t="s">
        <v>26</v>
      </c>
      <c r="E25" s="15"/>
      <c r="F25" s="14"/>
      <c r="G25" s="14"/>
      <c r="J25" s="14"/>
      <c r="K25" s="34"/>
      <c r="L25" s="34"/>
      <c r="M25" s="34"/>
    </row>
    <row r="26" spans="1:260" ht="15" customHeight="1" x14ac:dyDescent="0.2">
      <c r="A26" s="16" t="s">
        <v>27</v>
      </c>
      <c r="G26" s="14"/>
      <c r="J26" s="14"/>
    </row>
    <row r="27" spans="1:260" ht="15" customHeight="1" x14ac:dyDescent="0.2">
      <c r="A27" s="13"/>
      <c r="G27" s="14"/>
      <c r="I27" s="10"/>
      <c r="J27" s="14"/>
    </row>
  </sheetData>
  <printOptions horizontalCentered="1" verticalCentered="1"/>
  <pageMargins left="0.25" right="0.25" top="0.75" bottom="0.75" header="1.05" footer="0.3"/>
  <pageSetup scale="64" fitToHeight="0" orientation="landscape" r:id="rId1"/>
  <headerFooter>
    <oddHeader>&amp;C&amp;"Calibri,Bold"&amp;36&amp;K000000CLATSKANIE FARMERS MARKET &amp;11
&amp;18 &amp;28 2019 Statistics</oddHeader>
    <oddFooter>&amp;L&amp;"Helvetica,Regular"&amp;K000000&amp;P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DEA21-8CEF-574C-B053-882821CF8DCE}">
  <dimension ref="A1:Q18"/>
  <sheetViews>
    <sheetView tabSelected="1" topLeftCell="A14" workbookViewId="0">
      <selection activeCell="A2" sqref="A2"/>
    </sheetView>
  </sheetViews>
  <sheetFormatPr baseColWidth="10" defaultColWidth="11.125" defaultRowHeight="16" x14ac:dyDescent="0.2"/>
  <sheetData>
    <row r="1" spans="1:17" ht="33" thickBot="1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2" t="s">
        <v>7</v>
      </c>
      <c r="I1" s="4" t="s">
        <v>8</v>
      </c>
      <c r="J1" s="5" t="s">
        <v>9</v>
      </c>
      <c r="K1" s="30" t="s">
        <v>10</v>
      </c>
      <c r="L1" s="30" t="s">
        <v>11</v>
      </c>
      <c r="M1" s="30" t="s">
        <v>12</v>
      </c>
      <c r="N1" s="6" t="s">
        <v>13</v>
      </c>
      <c r="O1" s="59" t="s">
        <v>14</v>
      </c>
      <c r="P1" s="60" t="s">
        <v>15</v>
      </c>
      <c r="Q1" s="56" t="s">
        <v>16</v>
      </c>
    </row>
    <row r="2" spans="1:17" ht="68" x14ac:dyDescent="0.2">
      <c r="A2" s="17">
        <v>44002</v>
      </c>
      <c r="B2" s="39">
        <v>139</v>
      </c>
      <c r="C2" s="39">
        <v>7</v>
      </c>
      <c r="D2" s="40">
        <v>0</v>
      </c>
      <c r="E2" s="40">
        <v>160</v>
      </c>
      <c r="F2" s="40">
        <v>712.6</v>
      </c>
      <c r="G2" s="40">
        <v>0</v>
      </c>
      <c r="H2" s="40">
        <v>0</v>
      </c>
      <c r="I2" s="41">
        <v>236.5</v>
      </c>
      <c r="J2" s="43">
        <f>SUM(D2:I2)</f>
        <v>1109.0999999999999</v>
      </c>
      <c r="K2" s="42">
        <f>SUM(E2+F2+G2+H2)/J2</f>
        <v>0.78676404291768109</v>
      </c>
      <c r="L2" s="42">
        <f t="shared" ref="L2:L16" si="0">SUM(G2+H2)/J2</f>
        <v>0</v>
      </c>
      <c r="M2" s="42">
        <f>(D2+I2)/J2</f>
        <v>0.21323595708231902</v>
      </c>
      <c r="N2" s="28">
        <f t="shared" ref="N2:N16" si="1">J2/B2</f>
        <v>7.979136690647481</v>
      </c>
      <c r="O2" s="61">
        <v>140</v>
      </c>
      <c r="P2" s="62">
        <v>7</v>
      </c>
      <c r="Q2" s="57" t="s">
        <v>17</v>
      </c>
    </row>
    <row r="3" spans="1:17" x14ac:dyDescent="0.2">
      <c r="A3" s="18">
        <v>44009</v>
      </c>
      <c r="B3" s="19">
        <v>157</v>
      </c>
      <c r="C3" s="19">
        <v>8</v>
      </c>
      <c r="D3" s="40">
        <v>0</v>
      </c>
      <c r="E3" s="40">
        <v>191</v>
      </c>
      <c r="F3" s="40">
        <v>734.5</v>
      </c>
      <c r="G3" s="20">
        <v>0</v>
      </c>
      <c r="H3" s="40">
        <v>0</v>
      </c>
      <c r="I3" s="41">
        <v>375</v>
      </c>
      <c r="J3" s="43">
        <f t="shared" ref="J3:J16" si="2">SUM(D3:I3)</f>
        <v>1300.5</v>
      </c>
      <c r="K3" s="42">
        <f t="shared" ref="K3:K16" si="3">SUM(E3+F3+G3+H3)/J3</f>
        <v>0.71164936562860437</v>
      </c>
      <c r="L3" s="31">
        <f t="shared" si="0"/>
        <v>0</v>
      </c>
      <c r="M3" s="31">
        <f>I3/J3</f>
        <v>0.28835063437139563</v>
      </c>
      <c r="N3" s="28">
        <f t="shared" si="1"/>
        <v>8.2834394904458595</v>
      </c>
      <c r="O3" s="61">
        <v>104</v>
      </c>
      <c r="P3" s="63">
        <v>4</v>
      </c>
      <c r="Q3" s="58"/>
    </row>
    <row r="4" spans="1:17" ht="34" x14ac:dyDescent="0.2">
      <c r="A4" s="18">
        <v>44016</v>
      </c>
      <c r="B4" s="19">
        <v>221</v>
      </c>
      <c r="C4" s="19">
        <v>6</v>
      </c>
      <c r="D4" s="40">
        <v>0</v>
      </c>
      <c r="E4" s="40">
        <v>365.5</v>
      </c>
      <c r="F4" s="40">
        <v>1301</v>
      </c>
      <c r="G4" s="20">
        <v>15</v>
      </c>
      <c r="H4" s="40">
        <v>12</v>
      </c>
      <c r="I4" s="41">
        <v>176</v>
      </c>
      <c r="J4" s="43">
        <f t="shared" si="2"/>
        <v>1869.5</v>
      </c>
      <c r="K4" s="42">
        <f t="shared" si="3"/>
        <v>0.90585718106445579</v>
      </c>
      <c r="L4" s="31">
        <f t="shared" si="0"/>
        <v>1.4442364268520995E-2</v>
      </c>
      <c r="M4" s="31">
        <f>(D4+I4)/J4</f>
        <v>9.4142818935544256E-2</v>
      </c>
      <c r="N4" s="28">
        <f t="shared" si="1"/>
        <v>8.4592760180995477</v>
      </c>
      <c r="O4" s="61">
        <v>241.5</v>
      </c>
      <c r="P4" s="63">
        <v>7</v>
      </c>
      <c r="Q4" s="58" t="s">
        <v>18</v>
      </c>
    </row>
    <row r="5" spans="1:17" x14ac:dyDescent="0.2">
      <c r="A5" s="17">
        <v>44023</v>
      </c>
      <c r="B5" s="19">
        <v>200</v>
      </c>
      <c r="C5" s="19">
        <v>8</v>
      </c>
      <c r="D5" s="40">
        <v>30</v>
      </c>
      <c r="E5" s="40">
        <v>396.5</v>
      </c>
      <c r="F5" s="40">
        <v>749.45</v>
      </c>
      <c r="G5" s="20">
        <v>104</v>
      </c>
      <c r="H5" s="40">
        <v>36</v>
      </c>
      <c r="I5" s="41">
        <v>299.5</v>
      </c>
      <c r="J5" s="43">
        <f t="shared" si="2"/>
        <v>1615.45</v>
      </c>
      <c r="K5" s="42">
        <f t="shared" si="3"/>
        <v>0.79603206536878268</v>
      </c>
      <c r="L5" s="38">
        <f t="shared" si="0"/>
        <v>8.6663158872140891E-2</v>
      </c>
      <c r="M5" s="31">
        <f>(D5+I5)/J5</f>
        <v>0.20396793463121729</v>
      </c>
      <c r="N5" s="28">
        <f t="shared" si="1"/>
        <v>8.0772499999999994</v>
      </c>
      <c r="O5" s="61">
        <v>77</v>
      </c>
      <c r="P5" s="63">
        <v>4</v>
      </c>
      <c r="Q5" s="58"/>
    </row>
    <row r="6" spans="1:17" x14ac:dyDescent="0.2">
      <c r="A6" s="18">
        <v>44030</v>
      </c>
      <c r="B6" s="19">
        <v>148</v>
      </c>
      <c r="C6" s="19">
        <v>5</v>
      </c>
      <c r="D6" s="40">
        <v>62</v>
      </c>
      <c r="E6" s="40">
        <v>545</v>
      </c>
      <c r="F6" s="40">
        <v>1158</v>
      </c>
      <c r="G6" s="20">
        <v>0</v>
      </c>
      <c r="H6" s="40">
        <v>4</v>
      </c>
      <c r="I6" s="41">
        <v>153.5</v>
      </c>
      <c r="J6" s="43">
        <f t="shared" si="2"/>
        <v>1922.5</v>
      </c>
      <c r="K6" s="42">
        <f t="shared" si="3"/>
        <v>0.88790637191157351</v>
      </c>
      <c r="L6" s="38">
        <f t="shared" si="0"/>
        <v>2.0806241872561768E-3</v>
      </c>
      <c r="M6" s="31">
        <f t="shared" ref="M6:M13" si="4">I6/J6</f>
        <v>7.9843953185955788E-2</v>
      </c>
      <c r="N6" s="28">
        <f t="shared" si="1"/>
        <v>12.989864864864865</v>
      </c>
      <c r="O6" s="61">
        <v>244.5</v>
      </c>
      <c r="P6" s="63">
        <v>7</v>
      </c>
      <c r="Q6" s="58"/>
    </row>
    <row r="7" spans="1:17" x14ac:dyDescent="0.2">
      <c r="A7" s="18">
        <v>44037</v>
      </c>
      <c r="B7" s="19">
        <v>204</v>
      </c>
      <c r="C7" s="19">
        <v>7</v>
      </c>
      <c r="D7" s="40">
        <v>42</v>
      </c>
      <c r="E7" s="40">
        <v>521</v>
      </c>
      <c r="F7" s="40">
        <v>1573.2</v>
      </c>
      <c r="G7" s="20">
        <v>0</v>
      </c>
      <c r="H7" s="40">
        <v>32</v>
      </c>
      <c r="I7" s="41">
        <v>229</v>
      </c>
      <c r="J7" s="43">
        <f t="shared" si="2"/>
        <v>2397.1999999999998</v>
      </c>
      <c r="K7" s="42">
        <f t="shared" si="3"/>
        <v>0.88695144335057563</v>
      </c>
      <c r="L7" s="38">
        <f t="shared" si="0"/>
        <v>1.3348907058234608E-2</v>
      </c>
      <c r="M7" s="31">
        <f>(D7+I7)/J7</f>
        <v>0.11304855664942434</v>
      </c>
      <c r="N7" s="28">
        <f t="shared" si="1"/>
        <v>11.750980392156862</v>
      </c>
      <c r="O7" s="61">
        <v>115.5</v>
      </c>
      <c r="P7" s="63">
        <v>5</v>
      </c>
      <c r="Q7" s="58"/>
    </row>
    <row r="8" spans="1:17" ht="34" x14ac:dyDescent="0.2">
      <c r="A8" s="17">
        <v>44044</v>
      </c>
      <c r="B8" s="19">
        <v>259</v>
      </c>
      <c r="C8" s="22">
        <v>8</v>
      </c>
      <c r="D8" s="40">
        <v>67</v>
      </c>
      <c r="E8" s="40">
        <v>705</v>
      </c>
      <c r="F8" s="40">
        <v>1393.5</v>
      </c>
      <c r="G8" s="20">
        <v>12</v>
      </c>
      <c r="H8" s="40">
        <v>28</v>
      </c>
      <c r="I8" s="41">
        <v>297</v>
      </c>
      <c r="J8" s="43">
        <f t="shared" si="2"/>
        <v>2502.5</v>
      </c>
      <c r="K8" s="42">
        <f t="shared" si="3"/>
        <v>0.8545454545454545</v>
      </c>
      <c r="L8" s="38">
        <f t="shared" si="0"/>
        <v>1.5984015984015984E-2</v>
      </c>
      <c r="M8" s="31">
        <f>(D8+I8)/J8</f>
        <v>0.14545454545454545</v>
      </c>
      <c r="N8" s="28">
        <f t="shared" si="1"/>
        <v>9.6621621621621614</v>
      </c>
      <c r="O8" s="61">
        <v>93</v>
      </c>
      <c r="P8" s="63">
        <v>3</v>
      </c>
      <c r="Q8" s="58" t="s">
        <v>19</v>
      </c>
    </row>
    <row r="9" spans="1:17" x14ac:dyDescent="0.2">
      <c r="A9" s="18">
        <v>44051</v>
      </c>
      <c r="B9" s="21">
        <v>164</v>
      </c>
      <c r="C9" s="23">
        <v>8</v>
      </c>
      <c r="D9" s="40">
        <v>12</v>
      </c>
      <c r="E9" s="40">
        <v>448</v>
      </c>
      <c r="F9" s="40">
        <v>1333.5</v>
      </c>
      <c r="G9" s="20">
        <v>0</v>
      </c>
      <c r="H9" s="40">
        <v>0</v>
      </c>
      <c r="I9" s="41">
        <v>150</v>
      </c>
      <c r="J9" s="43">
        <f t="shared" si="2"/>
        <v>1943.5</v>
      </c>
      <c r="K9" s="42">
        <f t="shared" si="3"/>
        <v>0.91664522768201695</v>
      </c>
      <c r="L9" s="31">
        <f t="shared" si="0"/>
        <v>0</v>
      </c>
      <c r="M9" s="31">
        <f t="shared" si="4"/>
        <v>7.7180344738873169E-2</v>
      </c>
      <c r="N9" s="28">
        <f t="shared" si="1"/>
        <v>11.850609756097562</v>
      </c>
      <c r="O9" s="61">
        <v>226</v>
      </c>
      <c r="P9" s="63">
        <v>5</v>
      </c>
      <c r="Q9" s="58"/>
    </row>
    <row r="10" spans="1:17" x14ac:dyDescent="0.2">
      <c r="A10" s="18">
        <v>44058</v>
      </c>
      <c r="B10" s="19">
        <v>134</v>
      </c>
      <c r="C10" s="22">
        <v>7</v>
      </c>
      <c r="D10" s="40">
        <v>27</v>
      </c>
      <c r="E10" s="40">
        <v>580</v>
      </c>
      <c r="F10" s="40">
        <v>1244.5</v>
      </c>
      <c r="G10" s="20">
        <v>0</v>
      </c>
      <c r="H10" s="40">
        <v>149</v>
      </c>
      <c r="I10" s="41">
        <v>297.5</v>
      </c>
      <c r="J10" s="43">
        <f t="shared" si="2"/>
        <v>2298</v>
      </c>
      <c r="K10" s="42">
        <f t="shared" si="3"/>
        <v>0.85879025239338558</v>
      </c>
      <c r="L10" s="31">
        <f t="shared" si="0"/>
        <v>6.4838990426457785E-2</v>
      </c>
      <c r="M10" s="31">
        <f>(D10+I10)/J10</f>
        <v>0.14120974760661445</v>
      </c>
      <c r="N10" s="28">
        <f t="shared" si="1"/>
        <v>17.149253731343283</v>
      </c>
      <c r="O10" s="61">
        <v>9</v>
      </c>
      <c r="P10" s="63">
        <v>1</v>
      </c>
      <c r="Q10" s="58"/>
    </row>
    <row r="11" spans="1:17" x14ac:dyDescent="0.2">
      <c r="A11" s="17">
        <v>44065</v>
      </c>
      <c r="B11" s="22">
        <v>186</v>
      </c>
      <c r="C11" s="22">
        <v>7</v>
      </c>
      <c r="D11" s="40">
        <v>10</v>
      </c>
      <c r="E11" s="40">
        <v>718.5</v>
      </c>
      <c r="F11" s="40">
        <v>1593.28</v>
      </c>
      <c r="G11" s="20">
        <v>20</v>
      </c>
      <c r="H11" s="40">
        <v>142</v>
      </c>
      <c r="I11" s="41">
        <v>254</v>
      </c>
      <c r="J11" s="43">
        <f t="shared" si="2"/>
        <v>2737.7799999999997</v>
      </c>
      <c r="K11" s="42">
        <f t="shared" si="3"/>
        <v>0.90357150684130938</v>
      </c>
      <c r="L11" s="31">
        <f t="shared" si="0"/>
        <v>5.9172029892832885E-2</v>
      </c>
      <c r="M11" s="31">
        <f t="shared" si="4"/>
        <v>9.2775898720861436E-2</v>
      </c>
      <c r="N11" s="28">
        <f t="shared" si="1"/>
        <v>14.719247311827955</v>
      </c>
      <c r="O11" s="61">
        <v>313.25</v>
      </c>
      <c r="P11" s="63">
        <v>9</v>
      </c>
      <c r="Q11" s="58"/>
    </row>
    <row r="12" spans="1:17" x14ac:dyDescent="0.2">
      <c r="A12" s="18">
        <v>44072</v>
      </c>
      <c r="B12" s="22">
        <v>192</v>
      </c>
      <c r="C12" s="22">
        <v>10</v>
      </c>
      <c r="D12" s="40">
        <v>10</v>
      </c>
      <c r="E12" s="40">
        <v>585.5</v>
      </c>
      <c r="F12" s="40">
        <v>1404.87</v>
      </c>
      <c r="G12" s="20">
        <v>9</v>
      </c>
      <c r="H12" s="40">
        <v>185</v>
      </c>
      <c r="I12" s="41">
        <v>551.5</v>
      </c>
      <c r="J12" s="43">
        <f t="shared" si="2"/>
        <v>2745.87</v>
      </c>
      <c r="K12" s="42">
        <f t="shared" si="3"/>
        <v>0.79551107663509202</v>
      </c>
      <c r="L12" s="31">
        <f t="shared" si="0"/>
        <v>7.0651560343352016E-2</v>
      </c>
      <c r="M12" s="31">
        <f>(D12+I12)/J12</f>
        <v>0.20448892336490804</v>
      </c>
      <c r="N12" s="28">
        <f t="shared" si="1"/>
        <v>14.301406249999999</v>
      </c>
      <c r="O12" s="61">
        <v>166</v>
      </c>
      <c r="P12" s="63">
        <v>4</v>
      </c>
      <c r="Q12" s="58"/>
    </row>
    <row r="13" spans="1:17" x14ac:dyDescent="0.2">
      <c r="A13" s="18">
        <v>44079</v>
      </c>
      <c r="B13" s="22">
        <v>176</v>
      </c>
      <c r="C13" s="22">
        <v>9</v>
      </c>
      <c r="D13" s="40">
        <v>8</v>
      </c>
      <c r="E13" s="40">
        <v>372</v>
      </c>
      <c r="F13" s="40">
        <v>1147</v>
      </c>
      <c r="G13" s="20">
        <v>2</v>
      </c>
      <c r="H13" s="40">
        <v>106</v>
      </c>
      <c r="I13" s="41">
        <v>705.5</v>
      </c>
      <c r="J13" s="43">
        <f t="shared" si="2"/>
        <v>2340.5</v>
      </c>
      <c r="K13" s="42">
        <f t="shared" si="3"/>
        <v>0.69515060884426405</v>
      </c>
      <c r="L13" s="31">
        <f t="shared" si="0"/>
        <v>4.6143986327707755E-2</v>
      </c>
      <c r="M13" s="31">
        <f t="shared" si="4"/>
        <v>0.30143131809442425</v>
      </c>
      <c r="N13" s="28">
        <f t="shared" si="1"/>
        <v>13.298295454545455</v>
      </c>
      <c r="O13" s="61">
        <v>44</v>
      </c>
      <c r="P13" s="63">
        <v>1</v>
      </c>
      <c r="Q13" s="57"/>
    </row>
    <row r="14" spans="1:17" ht="51" x14ac:dyDescent="0.2">
      <c r="A14" s="17">
        <v>44086</v>
      </c>
      <c r="B14" s="22">
        <v>0</v>
      </c>
      <c r="C14" s="22">
        <v>0</v>
      </c>
      <c r="D14" s="40">
        <v>0</v>
      </c>
      <c r="E14" s="40">
        <v>0</v>
      </c>
      <c r="F14" s="40">
        <v>0</v>
      </c>
      <c r="G14" s="20">
        <v>0</v>
      </c>
      <c r="H14" s="40">
        <v>0</v>
      </c>
      <c r="I14" s="41">
        <v>0</v>
      </c>
      <c r="J14" s="43">
        <f t="shared" si="2"/>
        <v>0</v>
      </c>
      <c r="K14" s="42" t="e">
        <f t="shared" si="3"/>
        <v>#DIV/0!</v>
      </c>
      <c r="L14" s="31" t="e">
        <f t="shared" si="0"/>
        <v>#DIV/0!</v>
      </c>
      <c r="M14" s="31" t="e">
        <f t="shared" ref="M14:M16" si="5">(D14+I14)/J14</f>
        <v>#DIV/0!</v>
      </c>
      <c r="N14" s="28" t="e">
        <f t="shared" si="1"/>
        <v>#DIV/0!</v>
      </c>
      <c r="O14" s="61">
        <v>61.5</v>
      </c>
      <c r="P14" s="63">
        <v>2</v>
      </c>
      <c r="Q14" s="58" t="s">
        <v>20</v>
      </c>
    </row>
    <row r="15" spans="1:17" x14ac:dyDescent="0.2">
      <c r="A15" s="18">
        <v>44093</v>
      </c>
      <c r="B15" s="22">
        <v>133</v>
      </c>
      <c r="C15" s="22">
        <v>9</v>
      </c>
      <c r="D15" s="40">
        <v>17</v>
      </c>
      <c r="E15" s="40">
        <v>290</v>
      </c>
      <c r="F15" s="40">
        <v>1561.53</v>
      </c>
      <c r="G15" s="20">
        <v>0</v>
      </c>
      <c r="H15" s="40">
        <v>80</v>
      </c>
      <c r="I15" s="41">
        <v>235</v>
      </c>
      <c r="J15" s="43">
        <f t="shared" si="2"/>
        <v>2183.5299999999997</v>
      </c>
      <c r="K15" s="42">
        <f t="shared" si="3"/>
        <v>0.88459054833228767</v>
      </c>
      <c r="L15" s="31">
        <f t="shared" si="0"/>
        <v>3.6637921164353139E-2</v>
      </c>
      <c r="M15" s="31">
        <f t="shared" si="5"/>
        <v>0.11540945166771238</v>
      </c>
      <c r="N15" s="28">
        <f t="shared" si="1"/>
        <v>16.417518796992479</v>
      </c>
      <c r="O15" s="61">
        <v>161.15</v>
      </c>
      <c r="P15" s="63">
        <v>3</v>
      </c>
      <c r="Q15" s="58"/>
    </row>
    <row r="16" spans="1:17" ht="51" x14ac:dyDescent="0.2">
      <c r="A16" s="18">
        <v>44100</v>
      </c>
      <c r="B16" s="22">
        <v>196</v>
      </c>
      <c r="C16" s="22">
        <v>10</v>
      </c>
      <c r="D16" s="40">
        <v>37</v>
      </c>
      <c r="E16" s="40">
        <v>537.5</v>
      </c>
      <c r="F16" s="40">
        <v>1507.72</v>
      </c>
      <c r="G16" s="20">
        <v>0</v>
      </c>
      <c r="H16" s="40">
        <v>54</v>
      </c>
      <c r="I16" s="41">
        <v>1135</v>
      </c>
      <c r="J16" s="43">
        <f t="shared" si="2"/>
        <v>3271.2200000000003</v>
      </c>
      <c r="K16" s="42">
        <f t="shared" si="3"/>
        <v>0.64172388283270465</v>
      </c>
      <c r="L16" s="31">
        <f t="shared" si="0"/>
        <v>1.6507602668117703E-2</v>
      </c>
      <c r="M16" s="31">
        <f t="shared" si="5"/>
        <v>0.35827611716729535</v>
      </c>
      <c r="N16" s="28">
        <f t="shared" si="1"/>
        <v>16.689897959183675</v>
      </c>
      <c r="O16" s="61">
        <v>404.5</v>
      </c>
      <c r="P16" s="63">
        <v>5</v>
      </c>
      <c r="Q16" s="58" t="s">
        <v>21</v>
      </c>
    </row>
    <row r="17" spans="1:17" x14ac:dyDescent="0.2">
      <c r="A17" s="27"/>
      <c r="B17" s="24" t="s">
        <v>23</v>
      </c>
      <c r="C17" s="24" t="s">
        <v>24</v>
      </c>
      <c r="D17" s="24"/>
      <c r="E17" s="25"/>
      <c r="F17" s="25"/>
      <c r="G17" s="25"/>
      <c r="H17" s="25"/>
      <c r="I17" s="26"/>
      <c r="J17" s="8"/>
      <c r="K17" s="32"/>
      <c r="L17" s="32"/>
      <c r="M17" s="32"/>
      <c r="N17" s="29"/>
      <c r="O17" s="64"/>
      <c r="P17" s="63"/>
      <c r="Q17" s="35"/>
    </row>
    <row r="18" spans="1:17" ht="19" x14ac:dyDescent="0.2">
      <c r="A18" s="46"/>
      <c r="B18" s="47">
        <f>SUM(B2:B17)</f>
        <v>2509</v>
      </c>
      <c r="C18" s="48">
        <f>AVERAGE(C2:C16)</f>
        <v>7.2666666666666666</v>
      </c>
      <c r="D18" s="49">
        <f t="shared" ref="D18:J18" si="6">SUM(D2:D17)</f>
        <v>322</v>
      </c>
      <c r="E18" s="50">
        <f t="shared" si="6"/>
        <v>6415.5</v>
      </c>
      <c r="F18" s="50">
        <f t="shared" si="6"/>
        <v>17414.650000000001</v>
      </c>
      <c r="G18" s="50">
        <f t="shared" si="6"/>
        <v>162</v>
      </c>
      <c r="H18" s="50">
        <f t="shared" si="6"/>
        <v>828</v>
      </c>
      <c r="I18" s="50">
        <f t="shared" si="6"/>
        <v>5095</v>
      </c>
      <c r="J18" s="45">
        <f t="shared" si="6"/>
        <v>30237.149999999998</v>
      </c>
      <c r="K18" s="51">
        <f>SUM(E18+F18+G18+H18)/J18</f>
        <v>0.82084951789437843</v>
      </c>
      <c r="L18" s="51">
        <f>SUM(G18+H18)/J18</f>
        <v>3.274118096447582E-2</v>
      </c>
      <c r="M18" s="51">
        <f>SUM(D18+I18)/J18</f>
        <v>0.17915048210562173</v>
      </c>
      <c r="N18" s="44">
        <f>J18/B18</f>
        <v>12.051474691111997</v>
      </c>
      <c r="O18" s="65">
        <f>SUM(O2:O17)</f>
        <v>2400.9</v>
      </c>
      <c r="P18" s="66">
        <f>SUM(P2:P16)</f>
        <v>67</v>
      </c>
      <c r="Q18" s="52"/>
    </row>
  </sheetData>
  <pageMargins left="0.7" right="0.7" top="0.75" bottom="0.75" header="0.3" footer="0.3"/>
  <pageSetup orientation="landscape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01DDF-2002-204C-9F30-4C1F74F216E5}">
  <sheetPr>
    <pageSetUpPr fitToPage="1"/>
  </sheetPr>
  <dimension ref="A1:IY28"/>
  <sheetViews>
    <sheetView showGridLines="0" showWhiteSpace="0" topLeftCell="A4" zoomScale="102" zoomScaleNormal="102" zoomScalePageLayoutView="80" workbookViewId="0">
      <selection activeCell="G22" sqref="G22:H22"/>
    </sheetView>
  </sheetViews>
  <sheetFormatPr baseColWidth="10" defaultColWidth="6.625" defaultRowHeight="15" customHeight="1" x14ac:dyDescent="0.2"/>
  <cols>
    <col min="1" max="1" width="5" style="70" customWidth="1"/>
    <col min="2" max="2" width="9.75" style="9" customWidth="1"/>
    <col min="3" max="3" width="9" style="9" customWidth="1"/>
    <col min="4" max="4" width="6.375" style="9" customWidth="1"/>
    <col min="5" max="5" width="8.25" style="9" customWidth="1"/>
    <col min="6" max="6" width="9.375" style="9" bestFit="1" customWidth="1"/>
    <col min="7" max="8" width="6.5" style="9" customWidth="1"/>
    <col min="9" max="9" width="6.625" style="9" customWidth="1"/>
    <col min="10" max="10" width="7.75" style="9" customWidth="1"/>
    <col min="11" max="11" width="9.875" style="9" bestFit="1" customWidth="1"/>
    <col min="12" max="12" width="6.875" style="33" customWidth="1"/>
    <col min="13" max="14" width="6.125" style="33" customWidth="1"/>
    <col min="15" max="15" width="7.375" style="9" customWidth="1"/>
    <col min="16" max="16" width="24.125" style="35" customWidth="1"/>
    <col min="17" max="259" width="6.625" style="69" customWidth="1"/>
    <col min="260" max="16384" width="6.625" style="68"/>
  </cols>
  <sheetData>
    <row r="1" spans="1:259" ht="33" customHeight="1" thickBot="1" x14ac:dyDescent="0.25">
      <c r="A1" s="1" t="s">
        <v>0</v>
      </c>
      <c r="B1" s="2" t="s">
        <v>1</v>
      </c>
      <c r="C1" s="2" t="s">
        <v>2</v>
      </c>
      <c r="D1" s="2" t="s">
        <v>50</v>
      </c>
      <c r="E1" s="3" t="s">
        <v>4</v>
      </c>
      <c r="F1" s="3" t="s">
        <v>5</v>
      </c>
      <c r="G1" s="3" t="s">
        <v>6</v>
      </c>
      <c r="H1" s="2" t="s">
        <v>7</v>
      </c>
      <c r="I1" s="2" t="s">
        <v>49</v>
      </c>
      <c r="J1" s="4" t="s">
        <v>8</v>
      </c>
      <c r="K1" s="5" t="s">
        <v>9</v>
      </c>
      <c r="L1" s="30" t="s">
        <v>10</v>
      </c>
      <c r="M1" s="30" t="s">
        <v>11</v>
      </c>
      <c r="N1" s="30" t="s">
        <v>12</v>
      </c>
      <c r="O1" s="6" t="s">
        <v>13</v>
      </c>
      <c r="P1" s="81" t="s">
        <v>16</v>
      </c>
    </row>
    <row r="2" spans="1:259" s="73" customFormat="1" ht="17.5" customHeight="1" x14ac:dyDescent="0.2">
      <c r="A2" s="17">
        <v>43617</v>
      </c>
      <c r="B2" s="39">
        <v>286</v>
      </c>
      <c r="C2" s="39">
        <v>13</v>
      </c>
      <c r="D2" s="40">
        <v>53</v>
      </c>
      <c r="E2" s="40">
        <v>408</v>
      </c>
      <c r="F2" s="40">
        <v>986.5</v>
      </c>
      <c r="G2" s="40">
        <v>0</v>
      </c>
      <c r="H2" s="40">
        <v>0</v>
      </c>
      <c r="I2" s="40">
        <v>58</v>
      </c>
      <c r="J2" s="41">
        <v>1175</v>
      </c>
      <c r="K2" s="43">
        <v>2681</v>
      </c>
      <c r="L2" s="42">
        <f t="shared" ref="L2:L13" si="0">SUM(E2+F2+G2+H2+I2)/K2</f>
        <v>0.54177545691906004</v>
      </c>
      <c r="M2" s="42">
        <f t="shared" ref="M2:M18" si="1">SUM(G2+H2)/K2</f>
        <v>0</v>
      </c>
      <c r="N2" s="42">
        <f>(D2+J2)/K2</f>
        <v>0.45803804550540844</v>
      </c>
      <c r="O2" s="28">
        <f t="shared" ref="O2:O19" si="2">K2/B2</f>
        <v>9.3741258741258733</v>
      </c>
      <c r="P2" s="75" t="s">
        <v>48</v>
      </c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  <c r="DE2" s="74"/>
      <c r="DF2" s="74"/>
      <c r="DG2" s="74"/>
      <c r="DH2" s="74"/>
      <c r="DI2" s="74"/>
      <c r="DJ2" s="74"/>
      <c r="DK2" s="74"/>
      <c r="DL2" s="74"/>
      <c r="DM2" s="74"/>
      <c r="DN2" s="74"/>
      <c r="DO2" s="74"/>
      <c r="DP2" s="74"/>
      <c r="DQ2" s="74"/>
      <c r="DR2" s="74"/>
      <c r="DS2" s="74"/>
      <c r="DT2" s="74"/>
      <c r="DU2" s="74"/>
      <c r="DV2" s="74"/>
      <c r="DW2" s="74"/>
      <c r="DX2" s="74"/>
      <c r="DY2" s="74"/>
      <c r="DZ2" s="74"/>
      <c r="EA2" s="74"/>
      <c r="EB2" s="74"/>
      <c r="EC2" s="74"/>
      <c r="ED2" s="74"/>
      <c r="EE2" s="74"/>
      <c r="EF2" s="74"/>
      <c r="EG2" s="74"/>
      <c r="EH2" s="74"/>
      <c r="EI2" s="74"/>
      <c r="EJ2" s="74"/>
      <c r="EK2" s="74"/>
      <c r="EL2" s="74"/>
      <c r="EM2" s="74"/>
      <c r="EN2" s="74"/>
      <c r="EO2" s="74"/>
      <c r="EP2" s="74"/>
      <c r="EQ2" s="74"/>
      <c r="ER2" s="74"/>
      <c r="ES2" s="74"/>
      <c r="ET2" s="74"/>
      <c r="EU2" s="74"/>
      <c r="EV2" s="74"/>
      <c r="EW2" s="74"/>
      <c r="EX2" s="74"/>
      <c r="EY2" s="74"/>
      <c r="EZ2" s="74"/>
      <c r="FA2" s="74"/>
      <c r="FB2" s="74"/>
      <c r="FC2" s="74"/>
      <c r="FD2" s="74"/>
      <c r="FE2" s="74"/>
      <c r="FF2" s="74"/>
      <c r="FG2" s="74"/>
      <c r="FH2" s="74"/>
      <c r="FI2" s="74"/>
      <c r="FJ2" s="74"/>
      <c r="FK2" s="74"/>
      <c r="FL2" s="74"/>
      <c r="FM2" s="74"/>
      <c r="FN2" s="74"/>
      <c r="FO2" s="74"/>
      <c r="FP2" s="74"/>
      <c r="FQ2" s="74"/>
      <c r="FR2" s="74"/>
      <c r="FS2" s="74"/>
      <c r="FT2" s="74"/>
      <c r="FU2" s="74"/>
      <c r="FV2" s="74"/>
      <c r="FW2" s="74"/>
      <c r="FX2" s="74"/>
      <c r="FY2" s="74"/>
      <c r="FZ2" s="74"/>
      <c r="GA2" s="74"/>
      <c r="GB2" s="74"/>
      <c r="GC2" s="74"/>
      <c r="GD2" s="74"/>
      <c r="GE2" s="74"/>
      <c r="GF2" s="74"/>
      <c r="GG2" s="74"/>
      <c r="GH2" s="74"/>
      <c r="GI2" s="74"/>
      <c r="GJ2" s="74"/>
      <c r="GK2" s="74"/>
      <c r="GL2" s="74"/>
      <c r="GM2" s="74"/>
      <c r="GN2" s="74"/>
      <c r="GO2" s="74"/>
      <c r="GP2" s="74"/>
      <c r="GQ2" s="74"/>
      <c r="GR2" s="74"/>
      <c r="GS2" s="74"/>
      <c r="GT2" s="74"/>
      <c r="GU2" s="74"/>
      <c r="GV2" s="74"/>
      <c r="GW2" s="74"/>
      <c r="GX2" s="74"/>
      <c r="GY2" s="74"/>
      <c r="GZ2" s="74"/>
      <c r="HA2" s="74"/>
      <c r="HB2" s="74"/>
      <c r="HC2" s="74"/>
      <c r="HD2" s="74"/>
      <c r="HE2" s="74"/>
      <c r="HF2" s="74"/>
      <c r="HG2" s="74"/>
      <c r="HH2" s="74"/>
      <c r="HI2" s="74"/>
      <c r="HJ2" s="74"/>
      <c r="HK2" s="74"/>
      <c r="HL2" s="74"/>
      <c r="HM2" s="74"/>
      <c r="HN2" s="74"/>
      <c r="HO2" s="74"/>
      <c r="HP2" s="74"/>
      <c r="HQ2" s="74"/>
      <c r="HR2" s="74"/>
      <c r="HS2" s="74"/>
      <c r="HT2" s="74"/>
      <c r="HU2" s="74"/>
      <c r="HV2" s="74"/>
      <c r="HW2" s="74"/>
      <c r="HX2" s="74"/>
      <c r="HY2" s="74"/>
      <c r="HZ2" s="74"/>
      <c r="IA2" s="74"/>
      <c r="IB2" s="74"/>
      <c r="IC2" s="74"/>
      <c r="ID2" s="74"/>
      <c r="IE2" s="74"/>
      <c r="IF2" s="74"/>
      <c r="IG2" s="74"/>
      <c r="IH2" s="74"/>
      <c r="II2" s="74"/>
      <c r="IJ2" s="74"/>
      <c r="IK2" s="74"/>
      <c r="IL2" s="74"/>
      <c r="IM2" s="74"/>
      <c r="IN2" s="74"/>
      <c r="IO2" s="74"/>
      <c r="IP2" s="74"/>
      <c r="IQ2" s="74"/>
      <c r="IR2" s="74"/>
      <c r="IS2" s="74"/>
      <c r="IT2" s="74"/>
      <c r="IU2" s="74"/>
      <c r="IV2" s="74"/>
      <c r="IW2" s="74"/>
      <c r="IX2" s="74"/>
      <c r="IY2" s="74"/>
    </row>
    <row r="3" spans="1:259" ht="17" customHeight="1" x14ac:dyDescent="0.2">
      <c r="A3" s="18">
        <v>43624</v>
      </c>
      <c r="B3" s="19">
        <v>239</v>
      </c>
      <c r="C3" s="19">
        <v>10</v>
      </c>
      <c r="D3" s="20">
        <v>0</v>
      </c>
      <c r="E3" s="20">
        <v>512</v>
      </c>
      <c r="F3" s="20">
        <v>960</v>
      </c>
      <c r="G3" s="20">
        <v>0</v>
      </c>
      <c r="H3" s="20">
        <v>0</v>
      </c>
      <c r="I3" s="20">
        <v>70</v>
      </c>
      <c r="J3" s="77">
        <v>541</v>
      </c>
      <c r="K3" s="76">
        <v>2083</v>
      </c>
      <c r="L3" s="31">
        <f t="shared" si="0"/>
        <v>0.74027844455112823</v>
      </c>
      <c r="M3" s="31">
        <f t="shared" si="1"/>
        <v>0</v>
      </c>
      <c r="N3" s="31">
        <f>J3/K3</f>
        <v>0.25972155544887182</v>
      </c>
      <c r="O3" s="28">
        <f t="shared" si="2"/>
        <v>8.7154811715481166</v>
      </c>
      <c r="P3" s="72" t="s">
        <v>47</v>
      </c>
    </row>
    <row r="4" spans="1:259" ht="17" customHeight="1" x14ac:dyDescent="0.2">
      <c r="A4" s="18">
        <v>43631</v>
      </c>
      <c r="B4" s="19">
        <v>223</v>
      </c>
      <c r="C4" s="19">
        <v>11</v>
      </c>
      <c r="D4" s="20">
        <v>37</v>
      </c>
      <c r="E4" s="20">
        <v>408</v>
      </c>
      <c r="F4" s="20">
        <v>899.5</v>
      </c>
      <c r="G4" s="20">
        <v>0</v>
      </c>
      <c r="H4" s="20">
        <v>0</v>
      </c>
      <c r="I4" s="20">
        <v>0</v>
      </c>
      <c r="J4" s="77">
        <v>501</v>
      </c>
      <c r="K4" s="76">
        <v>1845.5</v>
      </c>
      <c r="L4" s="31">
        <f t="shared" si="0"/>
        <v>0.70848008669737195</v>
      </c>
      <c r="M4" s="31">
        <f t="shared" si="1"/>
        <v>0</v>
      </c>
      <c r="N4" s="31">
        <f>(D4+J4)/K4</f>
        <v>0.291519913302628</v>
      </c>
      <c r="O4" s="28">
        <f t="shared" si="2"/>
        <v>8.2757847533632294</v>
      </c>
      <c r="P4" s="72" t="s">
        <v>46</v>
      </c>
    </row>
    <row r="5" spans="1:259" ht="17" customHeight="1" x14ac:dyDescent="0.2">
      <c r="A5" s="17">
        <v>43638</v>
      </c>
      <c r="B5" s="19">
        <v>186</v>
      </c>
      <c r="C5" s="19">
        <v>9</v>
      </c>
      <c r="D5" s="80">
        <v>42</v>
      </c>
      <c r="E5" s="20">
        <v>401</v>
      </c>
      <c r="F5" s="20">
        <v>681</v>
      </c>
      <c r="G5" s="20">
        <v>0</v>
      </c>
      <c r="H5" s="20">
        <v>4</v>
      </c>
      <c r="I5" s="20">
        <v>30</v>
      </c>
      <c r="J5" s="77">
        <v>467</v>
      </c>
      <c r="K5" s="76">
        <v>1625</v>
      </c>
      <c r="L5" s="31">
        <f t="shared" si="0"/>
        <v>0.6867692307692308</v>
      </c>
      <c r="M5" s="38">
        <f t="shared" si="1"/>
        <v>2.4615384615384616E-3</v>
      </c>
      <c r="N5" s="31">
        <f>(D5+J5)/K5</f>
        <v>0.31323076923076926</v>
      </c>
      <c r="O5" s="28">
        <f t="shared" si="2"/>
        <v>8.736559139784946</v>
      </c>
      <c r="P5" s="72" t="s">
        <v>45</v>
      </c>
    </row>
    <row r="6" spans="1:259" ht="17" customHeight="1" x14ac:dyDescent="0.2">
      <c r="A6" s="18">
        <v>43645</v>
      </c>
      <c r="B6" s="19">
        <v>410</v>
      </c>
      <c r="C6" s="19">
        <v>13</v>
      </c>
      <c r="D6" s="20">
        <v>0</v>
      </c>
      <c r="E6" s="20">
        <v>380</v>
      </c>
      <c r="F6" s="20">
        <v>1402.61</v>
      </c>
      <c r="G6" s="20">
        <v>0</v>
      </c>
      <c r="H6" s="20">
        <v>36</v>
      </c>
      <c r="I6" s="20">
        <v>54</v>
      </c>
      <c r="J6" s="77">
        <v>770.5</v>
      </c>
      <c r="K6" s="76">
        <v>2643.11</v>
      </c>
      <c r="L6" s="31">
        <f t="shared" si="0"/>
        <v>0.70848735012920383</v>
      </c>
      <c r="M6" s="38">
        <f t="shared" si="1"/>
        <v>1.362031848844732E-2</v>
      </c>
      <c r="N6" s="31">
        <f>J6/K6</f>
        <v>0.29151264987079611</v>
      </c>
      <c r="O6" s="28">
        <f t="shared" si="2"/>
        <v>6.446609756097561</v>
      </c>
      <c r="P6" s="72" t="s">
        <v>44</v>
      </c>
    </row>
    <row r="7" spans="1:259" ht="17" customHeight="1" x14ac:dyDescent="0.2">
      <c r="A7" s="18">
        <v>43652</v>
      </c>
      <c r="B7" s="19">
        <v>244</v>
      </c>
      <c r="C7" s="19">
        <v>13</v>
      </c>
      <c r="D7" s="20">
        <v>143</v>
      </c>
      <c r="E7" s="20">
        <v>0</v>
      </c>
      <c r="F7" s="20">
        <v>1822</v>
      </c>
      <c r="G7" s="20">
        <v>0</v>
      </c>
      <c r="H7" s="20">
        <v>20</v>
      </c>
      <c r="I7" s="20">
        <v>42</v>
      </c>
      <c r="J7" s="77">
        <v>276</v>
      </c>
      <c r="K7" s="76">
        <v>2303</v>
      </c>
      <c r="L7" s="31">
        <f t="shared" si="0"/>
        <v>0.81806339557099439</v>
      </c>
      <c r="M7" s="38">
        <f t="shared" si="1"/>
        <v>8.6843247937472869E-3</v>
      </c>
      <c r="N7" s="31">
        <f>(D7+J7)/K7</f>
        <v>0.18193660442900564</v>
      </c>
      <c r="O7" s="28">
        <f t="shared" si="2"/>
        <v>9.4385245901639347</v>
      </c>
      <c r="P7" s="72" t="s">
        <v>43</v>
      </c>
    </row>
    <row r="8" spans="1:259" ht="17" customHeight="1" x14ac:dyDescent="0.2">
      <c r="A8" s="17">
        <v>43659</v>
      </c>
      <c r="B8" s="19">
        <v>161</v>
      </c>
      <c r="C8" s="22">
        <v>13</v>
      </c>
      <c r="D8" s="20">
        <v>50</v>
      </c>
      <c r="E8" s="20">
        <v>234</v>
      </c>
      <c r="F8" s="20">
        <v>1153.5</v>
      </c>
      <c r="G8" s="20">
        <v>0</v>
      </c>
      <c r="H8" s="79">
        <v>28</v>
      </c>
      <c r="I8" s="79">
        <v>12</v>
      </c>
      <c r="J8" s="77">
        <v>629.5</v>
      </c>
      <c r="K8" s="76">
        <v>2107</v>
      </c>
      <c r="L8" s="31">
        <f t="shared" si="0"/>
        <v>0.67750355956336028</v>
      </c>
      <c r="M8" s="38">
        <f t="shared" si="1"/>
        <v>1.3289036544850499E-2</v>
      </c>
      <c r="N8" s="31">
        <f>(D8+J8)/K8</f>
        <v>0.32249644043663978</v>
      </c>
      <c r="O8" s="28">
        <f t="shared" si="2"/>
        <v>13.086956521739131</v>
      </c>
      <c r="P8" s="72" t="s">
        <v>42</v>
      </c>
    </row>
    <row r="9" spans="1:259" ht="17" customHeight="1" x14ac:dyDescent="0.2">
      <c r="A9" s="18">
        <v>43666</v>
      </c>
      <c r="B9" s="21">
        <v>217</v>
      </c>
      <c r="C9" s="23">
        <v>12</v>
      </c>
      <c r="D9" s="20">
        <v>0</v>
      </c>
      <c r="E9" s="20">
        <v>351</v>
      </c>
      <c r="F9" s="20">
        <v>1096.4000000000001</v>
      </c>
      <c r="G9" s="20">
        <v>0</v>
      </c>
      <c r="H9" s="20">
        <v>56</v>
      </c>
      <c r="I9" s="20">
        <v>24</v>
      </c>
      <c r="J9" s="77">
        <v>326</v>
      </c>
      <c r="K9" s="76">
        <v>1853.4</v>
      </c>
      <c r="L9" s="31">
        <f t="shared" si="0"/>
        <v>0.82410704650911837</v>
      </c>
      <c r="M9" s="31">
        <f t="shared" si="1"/>
        <v>3.0214740476961259E-2</v>
      </c>
      <c r="N9" s="31">
        <f>J9/K9</f>
        <v>0.1758929534908816</v>
      </c>
      <c r="O9" s="28">
        <f t="shared" si="2"/>
        <v>8.5410138248847929</v>
      </c>
      <c r="P9" s="72" t="s">
        <v>41</v>
      </c>
    </row>
    <row r="10" spans="1:259" ht="17" customHeight="1" x14ac:dyDescent="0.2">
      <c r="A10" s="18">
        <v>43673</v>
      </c>
      <c r="B10" s="19">
        <v>303</v>
      </c>
      <c r="C10" s="22">
        <v>18</v>
      </c>
      <c r="D10" s="20">
        <v>51</v>
      </c>
      <c r="E10" s="20">
        <v>709</v>
      </c>
      <c r="F10" s="20">
        <v>2344</v>
      </c>
      <c r="G10" s="20">
        <v>0</v>
      </c>
      <c r="H10" s="20">
        <v>72</v>
      </c>
      <c r="I10" s="20">
        <v>50</v>
      </c>
      <c r="J10" s="77">
        <v>906.5</v>
      </c>
      <c r="K10" s="76">
        <v>4132.5</v>
      </c>
      <c r="L10" s="31">
        <f t="shared" si="0"/>
        <v>0.7683000604960678</v>
      </c>
      <c r="M10" s="31">
        <f t="shared" si="1"/>
        <v>1.7422867513611617E-2</v>
      </c>
      <c r="N10" s="31">
        <f>(D10+J10)/K10</f>
        <v>0.23169993950393225</v>
      </c>
      <c r="O10" s="28">
        <f t="shared" si="2"/>
        <v>13.638613861386139</v>
      </c>
      <c r="P10" s="72" t="s">
        <v>40</v>
      </c>
    </row>
    <row r="11" spans="1:259" ht="17" customHeight="1" x14ac:dyDescent="0.2">
      <c r="A11" s="17">
        <v>43680</v>
      </c>
      <c r="B11" s="22">
        <v>263</v>
      </c>
      <c r="C11" s="22">
        <v>9</v>
      </c>
      <c r="D11" s="20">
        <v>0</v>
      </c>
      <c r="E11" s="20">
        <v>0</v>
      </c>
      <c r="F11" s="20">
        <v>1228</v>
      </c>
      <c r="G11" s="20">
        <v>0</v>
      </c>
      <c r="H11" s="20">
        <v>36</v>
      </c>
      <c r="I11" s="20">
        <v>48</v>
      </c>
      <c r="J11" s="77">
        <v>492.5</v>
      </c>
      <c r="K11" s="76">
        <v>1804.5</v>
      </c>
      <c r="L11" s="31">
        <f t="shared" si="0"/>
        <v>0.72707121086173454</v>
      </c>
      <c r="M11" s="31">
        <f t="shared" si="1"/>
        <v>1.9950124688279301E-2</v>
      </c>
      <c r="N11" s="31">
        <f>J11/K11</f>
        <v>0.27292878913826546</v>
      </c>
      <c r="O11" s="28">
        <f t="shared" si="2"/>
        <v>6.8612167300380227</v>
      </c>
      <c r="P11" s="72" t="s">
        <v>19</v>
      </c>
    </row>
    <row r="12" spans="1:259" ht="17" customHeight="1" x14ac:dyDescent="0.2">
      <c r="A12" s="18">
        <v>43687</v>
      </c>
      <c r="B12" s="22">
        <v>178</v>
      </c>
      <c r="C12" s="22">
        <v>12</v>
      </c>
      <c r="D12" s="20">
        <v>35</v>
      </c>
      <c r="E12" s="20">
        <v>230</v>
      </c>
      <c r="F12" s="20">
        <v>1342.5</v>
      </c>
      <c r="G12" s="20">
        <v>0</v>
      </c>
      <c r="H12" s="20">
        <v>36</v>
      </c>
      <c r="I12" s="20">
        <v>54</v>
      </c>
      <c r="J12" s="77">
        <v>202</v>
      </c>
      <c r="K12" s="76">
        <v>1899.5</v>
      </c>
      <c r="L12" s="31">
        <f t="shared" si="0"/>
        <v>0.87523032376941301</v>
      </c>
      <c r="M12" s="31">
        <f t="shared" si="1"/>
        <v>1.8952355883127138E-2</v>
      </c>
      <c r="N12" s="31">
        <f>(D12+J12)/K12</f>
        <v>0.12476967623058699</v>
      </c>
      <c r="O12" s="28">
        <f t="shared" si="2"/>
        <v>10.671348314606741</v>
      </c>
      <c r="P12" s="72" t="s">
        <v>39</v>
      </c>
    </row>
    <row r="13" spans="1:259" s="73" customFormat="1" ht="17" customHeight="1" x14ac:dyDescent="0.2">
      <c r="A13" s="18">
        <v>43694</v>
      </c>
      <c r="B13" s="22">
        <v>397</v>
      </c>
      <c r="C13" s="22">
        <v>18</v>
      </c>
      <c r="D13" s="20">
        <v>0</v>
      </c>
      <c r="E13" s="20">
        <v>635</v>
      </c>
      <c r="F13" s="20">
        <v>5230.3500000000004</v>
      </c>
      <c r="G13" s="20">
        <v>0</v>
      </c>
      <c r="H13" s="20">
        <v>116</v>
      </c>
      <c r="I13" s="20">
        <v>22</v>
      </c>
      <c r="J13" s="77">
        <v>980</v>
      </c>
      <c r="K13" s="76">
        <v>6983.35</v>
      </c>
      <c r="L13" s="31">
        <f t="shared" si="0"/>
        <v>0.85966620604724098</v>
      </c>
      <c r="M13" s="31">
        <f t="shared" si="1"/>
        <v>1.6610938876040867E-2</v>
      </c>
      <c r="N13" s="31">
        <f>J13/K13</f>
        <v>0.14033379395275905</v>
      </c>
      <c r="O13" s="28">
        <f t="shared" si="2"/>
        <v>17.590302267002521</v>
      </c>
      <c r="P13" s="75" t="s">
        <v>38</v>
      </c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  <c r="DV13" s="74"/>
      <c r="DW13" s="74"/>
      <c r="DX13" s="74"/>
      <c r="DY13" s="74"/>
      <c r="DZ13" s="74"/>
      <c r="EA13" s="74"/>
      <c r="EB13" s="74"/>
      <c r="EC13" s="74"/>
      <c r="ED13" s="74"/>
      <c r="EE13" s="74"/>
      <c r="EF13" s="74"/>
      <c r="EG13" s="74"/>
      <c r="EH13" s="74"/>
      <c r="EI13" s="74"/>
      <c r="EJ13" s="74"/>
      <c r="EK13" s="74"/>
      <c r="EL13" s="74"/>
      <c r="EM13" s="74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/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M13" s="74"/>
      <c r="GN13" s="74"/>
      <c r="GO13" s="74"/>
      <c r="GP13" s="74"/>
      <c r="GQ13" s="74"/>
      <c r="GR13" s="74"/>
      <c r="GS13" s="74"/>
      <c r="GT13" s="74"/>
      <c r="GU13" s="74"/>
      <c r="GV13" s="74"/>
      <c r="GW13" s="74"/>
      <c r="GX13" s="74"/>
      <c r="GY13" s="74"/>
      <c r="GZ13" s="74"/>
      <c r="HA13" s="74"/>
      <c r="HB13" s="74"/>
      <c r="HC13" s="74"/>
      <c r="HD13" s="74"/>
      <c r="HE13" s="74"/>
      <c r="HF13" s="74"/>
      <c r="HG13" s="74"/>
      <c r="HH13" s="74"/>
      <c r="HI13" s="74"/>
      <c r="HJ13" s="74"/>
      <c r="HK13" s="74"/>
      <c r="HL13" s="74"/>
      <c r="HM13" s="74"/>
      <c r="HN13" s="74"/>
      <c r="HO13" s="74"/>
      <c r="HP13" s="74"/>
      <c r="HQ13" s="74"/>
      <c r="HR13" s="74"/>
      <c r="HS13" s="74"/>
      <c r="HT13" s="74"/>
      <c r="HU13" s="74"/>
      <c r="HV13" s="74"/>
      <c r="HW13" s="74"/>
      <c r="HX13" s="74"/>
      <c r="HY13" s="74"/>
      <c r="HZ13" s="74"/>
      <c r="IA13" s="74"/>
      <c r="IB13" s="74"/>
      <c r="IC13" s="74"/>
      <c r="ID13" s="74"/>
      <c r="IE13" s="74"/>
      <c r="IF13" s="74"/>
      <c r="IG13" s="74"/>
      <c r="IH13" s="74"/>
      <c r="II13" s="74"/>
      <c r="IJ13" s="74"/>
      <c r="IK13" s="74"/>
      <c r="IL13" s="74"/>
      <c r="IM13" s="74"/>
      <c r="IN13" s="74"/>
      <c r="IO13" s="74"/>
      <c r="IP13" s="74"/>
      <c r="IQ13" s="74"/>
      <c r="IR13" s="74"/>
      <c r="IS13" s="74"/>
      <c r="IT13" s="74"/>
      <c r="IU13" s="74"/>
      <c r="IV13" s="74"/>
      <c r="IW13" s="74"/>
      <c r="IX13" s="74"/>
      <c r="IY13" s="74"/>
    </row>
    <row r="14" spans="1:259" ht="17" customHeight="1" x14ac:dyDescent="0.2">
      <c r="A14" s="17">
        <v>43701</v>
      </c>
      <c r="B14" s="22">
        <v>193</v>
      </c>
      <c r="C14" s="22">
        <v>10</v>
      </c>
      <c r="D14" s="78">
        <v>66</v>
      </c>
      <c r="E14" s="20">
        <v>0</v>
      </c>
      <c r="F14" s="20">
        <v>963.55</v>
      </c>
      <c r="G14" s="20">
        <v>0</v>
      </c>
      <c r="H14" s="20">
        <v>44</v>
      </c>
      <c r="I14" s="20">
        <v>20</v>
      </c>
      <c r="J14" s="77">
        <v>413</v>
      </c>
      <c r="K14" s="76">
        <v>1506.55</v>
      </c>
      <c r="L14" s="31">
        <f>SUM(F14+H14+I14)/K14</f>
        <v>0.68205502638478643</v>
      </c>
      <c r="M14" s="31">
        <f t="shared" si="1"/>
        <v>2.9205801334174109E-2</v>
      </c>
      <c r="N14" s="31">
        <f t="shared" ref="N14:N19" si="3">(D14+J14)/K14</f>
        <v>0.31794497361521357</v>
      </c>
      <c r="O14" s="28">
        <f t="shared" si="2"/>
        <v>7.8059585492227974</v>
      </c>
      <c r="P14" s="72" t="s">
        <v>37</v>
      </c>
    </row>
    <row r="15" spans="1:259" ht="17" customHeight="1" x14ac:dyDescent="0.2">
      <c r="A15" s="18">
        <v>43708</v>
      </c>
      <c r="B15" s="22">
        <v>269</v>
      </c>
      <c r="C15" s="22">
        <v>12</v>
      </c>
      <c r="D15" s="78">
        <v>96</v>
      </c>
      <c r="E15" s="20">
        <v>303</v>
      </c>
      <c r="F15" s="20">
        <v>1607.57</v>
      </c>
      <c r="G15" s="20">
        <v>0</v>
      </c>
      <c r="H15" s="20">
        <v>108</v>
      </c>
      <c r="I15" s="20">
        <v>38</v>
      </c>
      <c r="J15" s="77">
        <v>257</v>
      </c>
      <c r="K15" s="76">
        <v>2409.5700000000002</v>
      </c>
      <c r="L15" s="31">
        <f>SUM(E15+F15+G15+H15+I15)/K15</f>
        <v>0.853500832098673</v>
      </c>
      <c r="M15" s="31">
        <f t="shared" si="1"/>
        <v>4.4821275165278451E-2</v>
      </c>
      <c r="N15" s="31">
        <f t="shared" si="3"/>
        <v>0.14649916790132678</v>
      </c>
      <c r="O15" s="28">
        <f t="shared" si="2"/>
        <v>8.9575092936802978</v>
      </c>
      <c r="P15" s="72" t="s">
        <v>36</v>
      </c>
    </row>
    <row r="16" spans="1:259" ht="17" customHeight="1" x14ac:dyDescent="0.2">
      <c r="A16" s="18">
        <v>43715</v>
      </c>
      <c r="B16" s="22">
        <v>221</v>
      </c>
      <c r="C16" s="22">
        <v>12</v>
      </c>
      <c r="D16" s="78">
        <v>13.05</v>
      </c>
      <c r="E16" s="20">
        <v>420</v>
      </c>
      <c r="F16" s="20">
        <v>1463</v>
      </c>
      <c r="G16" s="20">
        <v>0</v>
      </c>
      <c r="H16" s="20">
        <v>48</v>
      </c>
      <c r="I16" s="20">
        <v>24</v>
      </c>
      <c r="J16" s="77">
        <v>396</v>
      </c>
      <c r="K16" s="76">
        <v>2364.0500000000002</v>
      </c>
      <c r="L16" s="31">
        <f>SUM(E16+F16+G16+H16+I16)/K16</f>
        <v>0.82697066474905345</v>
      </c>
      <c r="M16" s="31">
        <f t="shared" si="1"/>
        <v>2.0304139083352719E-2</v>
      </c>
      <c r="N16" s="31">
        <f t="shared" si="3"/>
        <v>0.17302933525094646</v>
      </c>
      <c r="O16" s="28">
        <f t="shared" si="2"/>
        <v>10.697058823529412</v>
      </c>
      <c r="P16" s="72" t="s">
        <v>35</v>
      </c>
    </row>
    <row r="17" spans="1:259" ht="17" customHeight="1" x14ac:dyDescent="0.2">
      <c r="A17" s="17">
        <v>43722</v>
      </c>
      <c r="B17" s="22">
        <v>168</v>
      </c>
      <c r="C17" s="22">
        <v>11</v>
      </c>
      <c r="D17" s="78">
        <v>58</v>
      </c>
      <c r="E17" s="20">
        <v>350</v>
      </c>
      <c r="F17" s="20">
        <v>1215.02</v>
      </c>
      <c r="G17" s="20">
        <v>0</v>
      </c>
      <c r="H17" s="20">
        <v>86</v>
      </c>
      <c r="I17" s="20">
        <v>26</v>
      </c>
      <c r="J17" s="77">
        <v>304.5</v>
      </c>
      <c r="K17" s="76">
        <v>2039.52</v>
      </c>
      <c r="L17" s="31">
        <f>SUM(E17+F17+G17+H17+I17)/K17</f>
        <v>0.8222621008864831</v>
      </c>
      <c r="M17" s="31">
        <f t="shared" si="1"/>
        <v>4.2166784341413667E-2</v>
      </c>
      <c r="N17" s="31">
        <f t="shared" si="3"/>
        <v>0.1777378991135169</v>
      </c>
      <c r="O17" s="28">
        <f t="shared" si="2"/>
        <v>12.14</v>
      </c>
      <c r="P17" s="72" t="s">
        <v>22</v>
      </c>
    </row>
    <row r="18" spans="1:259" s="73" customFormat="1" ht="17" customHeight="1" x14ac:dyDescent="0.2">
      <c r="A18" s="18">
        <v>43729</v>
      </c>
      <c r="B18" s="22">
        <v>217</v>
      </c>
      <c r="C18" s="22">
        <v>10</v>
      </c>
      <c r="D18" s="78">
        <v>69</v>
      </c>
      <c r="E18" s="20">
        <v>280</v>
      </c>
      <c r="F18" s="20">
        <v>1158.75</v>
      </c>
      <c r="G18" s="20">
        <v>0</v>
      </c>
      <c r="H18" s="20">
        <v>136</v>
      </c>
      <c r="I18" s="20">
        <v>44</v>
      </c>
      <c r="J18" s="77">
        <v>371</v>
      </c>
      <c r="K18" s="76">
        <v>2058.75</v>
      </c>
      <c r="L18" s="31">
        <f>SUM(E18+F18+G18+H18+I18)/K18</f>
        <v>0.78627808136004862</v>
      </c>
      <c r="M18" s="31">
        <f t="shared" si="1"/>
        <v>6.60595021250759E-2</v>
      </c>
      <c r="N18" s="31">
        <f t="shared" si="3"/>
        <v>0.21372191863995144</v>
      </c>
      <c r="O18" s="28">
        <f t="shared" si="2"/>
        <v>9.4873271889400925</v>
      </c>
      <c r="P18" s="75" t="s">
        <v>22</v>
      </c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4"/>
      <c r="EE18" s="74"/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/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M18" s="74"/>
      <c r="GN18" s="74"/>
      <c r="GO18" s="74"/>
      <c r="GP18" s="74"/>
      <c r="GQ18" s="74"/>
      <c r="GR18" s="74"/>
      <c r="GS18" s="74"/>
      <c r="GT18" s="74"/>
      <c r="GU18" s="74"/>
      <c r="GV18" s="74"/>
      <c r="GW18" s="74"/>
      <c r="GX18" s="74"/>
      <c r="GY18" s="74"/>
      <c r="GZ18" s="74"/>
      <c r="HA18" s="74"/>
      <c r="HB18" s="74"/>
      <c r="HC18" s="74"/>
      <c r="HD18" s="74"/>
      <c r="HE18" s="74"/>
      <c r="HF18" s="74"/>
      <c r="HG18" s="74"/>
      <c r="HH18" s="74"/>
      <c r="HI18" s="74"/>
      <c r="HJ18" s="74"/>
      <c r="HK18" s="74"/>
      <c r="HL18" s="74"/>
      <c r="HM18" s="74"/>
      <c r="HN18" s="74"/>
      <c r="HO18" s="74"/>
      <c r="HP18" s="74"/>
      <c r="HQ18" s="74"/>
      <c r="HR18" s="74"/>
      <c r="HS18" s="74"/>
      <c r="HT18" s="74"/>
      <c r="HU18" s="74"/>
      <c r="HV18" s="74"/>
      <c r="HW18" s="74"/>
      <c r="HX18" s="74"/>
      <c r="HY18" s="74"/>
      <c r="HZ18" s="74"/>
      <c r="IA18" s="74"/>
      <c r="IB18" s="74"/>
      <c r="IC18" s="74"/>
      <c r="ID18" s="74"/>
      <c r="IE18" s="74"/>
      <c r="IF18" s="74"/>
      <c r="IG18" s="74"/>
      <c r="IH18" s="74"/>
      <c r="II18" s="74"/>
      <c r="IJ18" s="74"/>
      <c r="IK18" s="74"/>
      <c r="IL18" s="74"/>
      <c r="IM18" s="74"/>
      <c r="IN18" s="74"/>
      <c r="IO18" s="74"/>
      <c r="IP18" s="74"/>
      <c r="IQ18" s="74"/>
      <c r="IR18" s="74"/>
      <c r="IS18" s="74"/>
      <c r="IT18" s="74"/>
      <c r="IU18" s="74"/>
      <c r="IV18" s="74"/>
      <c r="IW18" s="74"/>
      <c r="IX18" s="74"/>
      <c r="IY18" s="74"/>
    </row>
    <row r="19" spans="1:259" ht="17" customHeight="1" x14ac:dyDescent="0.2">
      <c r="A19" s="18">
        <v>43736</v>
      </c>
      <c r="B19" s="24">
        <v>224</v>
      </c>
      <c r="C19" s="24">
        <v>12</v>
      </c>
      <c r="D19" s="55">
        <v>28</v>
      </c>
      <c r="E19" s="25">
        <v>470</v>
      </c>
      <c r="F19" s="25">
        <v>1282.5</v>
      </c>
      <c r="G19" s="25">
        <v>0</v>
      </c>
      <c r="H19" s="25">
        <v>84</v>
      </c>
      <c r="I19" s="25">
        <v>36</v>
      </c>
      <c r="J19" s="26">
        <v>317</v>
      </c>
      <c r="K19" s="8">
        <v>2217.5</v>
      </c>
      <c r="L19" s="32">
        <f>SUM(E19+F19+G19+H19+I19)/K19</f>
        <v>0.84441939120631337</v>
      </c>
      <c r="M19" s="32">
        <f>(G19+H19)/K19</f>
        <v>3.7880496054114997E-2</v>
      </c>
      <c r="N19" s="32">
        <f t="shared" si="3"/>
        <v>0.1555806087936866</v>
      </c>
      <c r="O19" s="29">
        <f t="shared" si="2"/>
        <v>9.8995535714285712</v>
      </c>
      <c r="P19" s="72" t="s">
        <v>34</v>
      </c>
    </row>
    <row r="20" spans="1:259" ht="17" customHeight="1" x14ac:dyDescent="0.2">
      <c r="A20" s="27"/>
      <c r="B20" s="24"/>
      <c r="C20" s="24"/>
      <c r="D20" s="55"/>
      <c r="E20" s="25"/>
      <c r="F20" s="25"/>
      <c r="G20" s="25"/>
      <c r="H20" s="25"/>
      <c r="I20" s="25"/>
      <c r="J20" s="26"/>
      <c r="K20" s="8"/>
      <c r="L20" s="32"/>
      <c r="M20" s="32"/>
      <c r="N20" s="32"/>
      <c r="O20" s="29"/>
    </row>
    <row r="21" spans="1:259" ht="17" customHeight="1" x14ac:dyDescent="0.2">
      <c r="A21" s="27"/>
      <c r="B21" s="24" t="s">
        <v>23</v>
      </c>
      <c r="C21" s="24" t="s">
        <v>24</v>
      </c>
      <c r="D21" s="24"/>
      <c r="E21" s="25"/>
      <c r="F21" s="25"/>
      <c r="G21" s="25"/>
      <c r="H21" s="25"/>
      <c r="I21" s="25"/>
      <c r="J21" s="26"/>
      <c r="K21" s="8"/>
      <c r="L21" s="32"/>
      <c r="M21" s="32"/>
      <c r="N21" s="32"/>
      <c r="O21" s="29"/>
    </row>
    <row r="22" spans="1:259" s="54" customFormat="1" ht="15.75" customHeight="1" x14ac:dyDescent="0.2">
      <c r="A22" s="46"/>
      <c r="B22" s="47">
        <f>SUM(B2:B21)</f>
        <v>4399</v>
      </c>
      <c r="C22" s="48">
        <f>SUM(C1:C19)/18</f>
        <v>12.111111111111111</v>
      </c>
      <c r="D22" s="49">
        <f t="shared" ref="D22:K22" si="4">SUM(D2:D21)</f>
        <v>741.05</v>
      </c>
      <c r="E22" s="50">
        <f t="shared" si="4"/>
        <v>6091</v>
      </c>
      <c r="F22" s="50">
        <f t="shared" si="4"/>
        <v>26836.75</v>
      </c>
      <c r="G22" s="50">
        <f t="shared" si="4"/>
        <v>0</v>
      </c>
      <c r="H22" s="50">
        <f t="shared" si="4"/>
        <v>910</v>
      </c>
      <c r="I22" s="50">
        <f t="shared" si="4"/>
        <v>652</v>
      </c>
      <c r="J22" s="50">
        <f t="shared" si="4"/>
        <v>9325.5</v>
      </c>
      <c r="K22" s="45">
        <f t="shared" si="4"/>
        <v>44556.800000000003</v>
      </c>
      <c r="L22" s="51">
        <f>SUM(E22+F22+G22+H22+I22)/K22</f>
        <v>0.77406254488652682</v>
      </c>
      <c r="M22" s="51">
        <f>SUM(G22+H22)/K22</f>
        <v>2.0423369721344439E-2</v>
      </c>
      <c r="N22" s="51">
        <f>SUM(D22+J22)/K22</f>
        <v>0.22592623348175808</v>
      </c>
      <c r="O22" s="44">
        <f>K22/B22</f>
        <v>10.128847465333031</v>
      </c>
      <c r="P22" s="52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  <c r="IR22" s="53"/>
      <c r="IS22" s="53"/>
      <c r="IT22" s="53"/>
      <c r="IU22" s="53"/>
      <c r="IV22" s="53"/>
      <c r="IW22" s="53"/>
      <c r="IX22" s="53"/>
      <c r="IY22" s="53"/>
    </row>
    <row r="23" spans="1:259" ht="15" customHeight="1" x14ac:dyDescent="0.2">
      <c r="A23" s="71"/>
      <c r="F23" s="10"/>
      <c r="G23" s="10"/>
    </row>
    <row r="24" spans="1:259" ht="15" customHeight="1" x14ac:dyDescent="0.2">
      <c r="D24" s="11"/>
      <c r="E24" s="12"/>
      <c r="F24" s="10"/>
      <c r="G24" s="10"/>
    </row>
    <row r="25" spans="1:259" ht="15" customHeight="1" x14ac:dyDescent="0.2">
      <c r="A25" s="13"/>
      <c r="G25" s="14"/>
      <c r="K25" s="14"/>
    </row>
    <row r="26" spans="1:259" ht="15" customHeight="1" x14ac:dyDescent="0.2">
      <c r="A26" s="13"/>
      <c r="E26" s="15"/>
      <c r="F26" s="14"/>
      <c r="G26" s="14"/>
      <c r="K26" s="14"/>
      <c r="L26" s="34"/>
      <c r="M26" s="34"/>
      <c r="N26" s="34"/>
    </row>
    <row r="27" spans="1:259" ht="15" customHeight="1" x14ac:dyDescent="0.2">
      <c r="A27" s="16"/>
      <c r="G27" s="14"/>
      <c r="K27" s="14"/>
    </row>
    <row r="28" spans="1:259" ht="15" customHeight="1" x14ac:dyDescent="0.2">
      <c r="A28" s="13"/>
      <c r="G28" s="14"/>
      <c r="J28" s="10"/>
      <c r="K28" s="14"/>
    </row>
  </sheetData>
  <printOptions horizontalCentered="1" verticalCentered="1"/>
  <pageMargins left="0.25" right="0.25" top="0.75" bottom="0.75" header="1.05" footer="0.3"/>
  <pageSetup scale="69" fitToHeight="0" orientation="landscape" r:id="rId1"/>
  <headerFooter>
    <oddHeader>&amp;C&amp;"Calibri,Bold"&amp;36&amp;K000000CLATSKANIE FARMERS MARKET &amp;11
&amp;18 &amp;28 2019 Statistics</oddHeader>
    <oddFooter>&amp;L&amp;"Helvetica,Regular"&amp;K000000&amp;P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9F975-B703-4723-AD15-113434D4B5FB}">
  <sheetPr>
    <pageSetUpPr fitToPage="1"/>
  </sheetPr>
  <dimension ref="A1:IY28"/>
  <sheetViews>
    <sheetView showGridLines="0" showWhiteSpace="0" view="pageLayout" zoomScale="80" zoomScaleNormal="100" zoomScalePageLayoutView="80" workbookViewId="0">
      <selection activeCell="G22" sqref="G22:H22"/>
    </sheetView>
  </sheetViews>
  <sheetFormatPr baseColWidth="10" defaultColWidth="6.625" defaultRowHeight="15" customHeight="1" x14ac:dyDescent="0.2"/>
  <cols>
    <col min="1" max="1" width="5" style="70" customWidth="1"/>
    <col min="2" max="2" width="5.5" style="9" bestFit="1" customWidth="1"/>
    <col min="3" max="3" width="6.5" style="9" customWidth="1"/>
    <col min="4" max="4" width="6.25" style="9" customWidth="1"/>
    <col min="5" max="5" width="8.25" style="9" customWidth="1"/>
    <col min="6" max="6" width="9.375" style="9" bestFit="1" customWidth="1"/>
    <col min="7" max="8" width="6.5" style="9" customWidth="1"/>
    <col min="9" max="9" width="6.625" style="9" customWidth="1"/>
    <col min="10" max="10" width="7.75" style="9" customWidth="1"/>
    <col min="11" max="11" width="9.375" style="9" bestFit="1" customWidth="1"/>
    <col min="12" max="12" width="9.25" style="33" bestFit="1" customWidth="1"/>
    <col min="13" max="14" width="6.125" style="33" customWidth="1"/>
    <col min="15" max="15" width="9.375" style="9" customWidth="1"/>
    <col min="16" max="16" width="27.625" style="35" customWidth="1"/>
    <col min="17" max="259" width="6.625" style="69" customWidth="1"/>
    <col min="260" max="16384" width="6.625" style="68"/>
  </cols>
  <sheetData>
    <row r="1" spans="1:16" ht="33" customHeight="1" thickBot="1" x14ac:dyDescent="0.25">
      <c r="A1" s="1" t="s">
        <v>0</v>
      </c>
      <c r="B1" s="2" t="s">
        <v>1</v>
      </c>
      <c r="C1" s="2" t="s">
        <v>2</v>
      </c>
      <c r="D1" s="2" t="s">
        <v>60</v>
      </c>
      <c r="E1" s="3" t="s">
        <v>4</v>
      </c>
      <c r="F1" s="3" t="s">
        <v>5</v>
      </c>
      <c r="G1" s="3" t="s">
        <v>6</v>
      </c>
      <c r="H1" s="2" t="s">
        <v>7</v>
      </c>
      <c r="I1" s="2" t="s">
        <v>49</v>
      </c>
      <c r="J1" s="4" t="s">
        <v>8</v>
      </c>
      <c r="K1" s="5" t="s">
        <v>9</v>
      </c>
      <c r="L1" s="30" t="s">
        <v>10</v>
      </c>
      <c r="M1" s="30" t="s">
        <v>11</v>
      </c>
      <c r="N1" s="30" t="s">
        <v>12</v>
      </c>
      <c r="O1" s="6" t="s">
        <v>13</v>
      </c>
      <c r="P1" s="81" t="s">
        <v>16</v>
      </c>
    </row>
    <row r="2" spans="1:16" ht="17.5" customHeight="1" x14ac:dyDescent="0.2">
      <c r="A2" s="17">
        <v>43253</v>
      </c>
      <c r="B2" s="39">
        <v>409</v>
      </c>
      <c r="C2" s="39">
        <v>14</v>
      </c>
      <c r="D2" s="39">
        <v>14</v>
      </c>
      <c r="E2" s="40">
        <v>690.48</v>
      </c>
      <c r="F2" s="40">
        <v>1651.37</v>
      </c>
      <c r="G2" s="40">
        <v>0</v>
      </c>
      <c r="H2" s="40">
        <v>0</v>
      </c>
      <c r="I2" s="40">
        <v>42</v>
      </c>
      <c r="J2" s="41">
        <v>892</v>
      </c>
      <c r="K2" s="43">
        <f t="shared" ref="K2:K22" si="0">SUM(E2:J2)</f>
        <v>3275.85</v>
      </c>
      <c r="L2" s="42">
        <f t="shared" ref="L2:L19" si="1">SUM(E2+F2+G2+H2+I2)/K2</f>
        <v>0.72770425996306298</v>
      </c>
      <c r="M2" s="42">
        <f t="shared" ref="M2:M19" si="2">SUM(G2+H2)/K2</f>
        <v>0</v>
      </c>
      <c r="N2" s="42">
        <f t="shared" ref="N2:N19" si="3">J2/K2</f>
        <v>0.27229574003693696</v>
      </c>
      <c r="O2" s="28">
        <f t="shared" ref="O2:O19" si="4">K2/B2</f>
        <v>8.0094132029339846</v>
      </c>
      <c r="P2" s="72" t="s">
        <v>48</v>
      </c>
    </row>
    <row r="3" spans="1:16" ht="17" customHeight="1" x14ac:dyDescent="0.2">
      <c r="A3" s="18">
        <v>43260</v>
      </c>
      <c r="B3" s="19">
        <v>269</v>
      </c>
      <c r="C3" s="19">
        <v>13</v>
      </c>
      <c r="D3" s="19">
        <v>13</v>
      </c>
      <c r="E3" s="20">
        <v>406.08</v>
      </c>
      <c r="F3" s="20">
        <v>1162.17</v>
      </c>
      <c r="G3" s="20">
        <v>0</v>
      </c>
      <c r="H3" s="20">
        <v>0</v>
      </c>
      <c r="I3" s="20">
        <v>20</v>
      </c>
      <c r="J3" s="77">
        <v>453.5</v>
      </c>
      <c r="K3" s="76">
        <f t="shared" si="0"/>
        <v>2041.75</v>
      </c>
      <c r="L3" s="31">
        <f t="shared" si="1"/>
        <v>0.77788661687278071</v>
      </c>
      <c r="M3" s="31">
        <f t="shared" si="2"/>
        <v>0</v>
      </c>
      <c r="N3" s="31">
        <f t="shared" si="3"/>
        <v>0.22211338312721929</v>
      </c>
      <c r="O3" s="28">
        <f t="shared" si="4"/>
        <v>7.5901486988847582</v>
      </c>
      <c r="P3" s="72" t="s">
        <v>59</v>
      </c>
    </row>
    <row r="4" spans="1:16" ht="17" customHeight="1" x14ac:dyDescent="0.2">
      <c r="A4" s="18">
        <v>43267</v>
      </c>
      <c r="B4" s="19">
        <v>378</v>
      </c>
      <c r="C4" s="19">
        <v>16</v>
      </c>
      <c r="D4" s="19">
        <v>16</v>
      </c>
      <c r="E4" s="20">
        <v>467</v>
      </c>
      <c r="F4" s="20">
        <v>1254.5</v>
      </c>
      <c r="G4" s="20">
        <v>8</v>
      </c>
      <c r="H4" s="20">
        <v>20</v>
      </c>
      <c r="I4" s="20">
        <v>50</v>
      </c>
      <c r="J4" s="77">
        <v>553.5</v>
      </c>
      <c r="K4" s="76">
        <f t="shared" si="0"/>
        <v>2353</v>
      </c>
      <c r="L4" s="31">
        <f t="shared" si="1"/>
        <v>0.76476838079048026</v>
      </c>
      <c r="M4" s="31">
        <f t="shared" si="2"/>
        <v>1.1899702507437314E-2</v>
      </c>
      <c r="N4" s="31">
        <f t="shared" si="3"/>
        <v>0.23523161920951977</v>
      </c>
      <c r="O4" s="28">
        <f t="shared" si="4"/>
        <v>6.2248677248677247</v>
      </c>
      <c r="P4" s="72" t="s">
        <v>58</v>
      </c>
    </row>
    <row r="5" spans="1:16" ht="17" customHeight="1" x14ac:dyDescent="0.2">
      <c r="A5" s="17">
        <v>43274</v>
      </c>
      <c r="B5" s="19">
        <v>280</v>
      </c>
      <c r="C5" s="19">
        <v>14</v>
      </c>
      <c r="D5" s="21">
        <v>14</v>
      </c>
      <c r="E5" s="20">
        <v>359</v>
      </c>
      <c r="F5" s="20">
        <v>1727.25</v>
      </c>
      <c r="G5" s="20">
        <v>0</v>
      </c>
      <c r="H5" s="20">
        <v>16</v>
      </c>
      <c r="I5" s="20">
        <v>36</v>
      </c>
      <c r="J5" s="77">
        <v>886.5</v>
      </c>
      <c r="K5" s="76">
        <f t="shared" si="0"/>
        <v>3024.75</v>
      </c>
      <c r="L5" s="31">
        <f t="shared" si="1"/>
        <v>0.70691792710141332</v>
      </c>
      <c r="M5" s="31">
        <f t="shared" si="2"/>
        <v>5.2896933630878582E-3</v>
      </c>
      <c r="N5" s="31">
        <f t="shared" si="3"/>
        <v>0.29308207289858668</v>
      </c>
      <c r="O5" s="28">
        <f t="shared" si="4"/>
        <v>10.802678571428572</v>
      </c>
      <c r="P5" s="72"/>
    </row>
    <row r="6" spans="1:16" ht="17" customHeight="1" x14ac:dyDescent="0.2">
      <c r="A6" s="18">
        <v>43281</v>
      </c>
      <c r="B6" s="19">
        <v>535</v>
      </c>
      <c r="C6" s="19">
        <v>14</v>
      </c>
      <c r="D6" s="19">
        <v>14</v>
      </c>
      <c r="E6" s="20">
        <v>384</v>
      </c>
      <c r="F6" s="20">
        <v>1367</v>
      </c>
      <c r="G6" s="20">
        <v>0</v>
      </c>
      <c r="H6" s="20">
        <v>20</v>
      </c>
      <c r="I6" s="20">
        <v>50</v>
      </c>
      <c r="J6" s="77">
        <v>618.45000000000005</v>
      </c>
      <c r="K6" s="76">
        <f t="shared" si="0"/>
        <v>2439.4499999999998</v>
      </c>
      <c r="L6" s="31">
        <f t="shared" si="1"/>
        <v>0.74647973928549471</v>
      </c>
      <c r="M6" s="31">
        <f t="shared" si="2"/>
        <v>8.1985693496484865E-3</v>
      </c>
      <c r="N6" s="31">
        <f t="shared" si="3"/>
        <v>0.25352026071450534</v>
      </c>
      <c r="O6" s="28">
        <f t="shared" si="4"/>
        <v>4.5597196261682242</v>
      </c>
      <c r="P6" s="72" t="s">
        <v>57</v>
      </c>
    </row>
    <row r="7" spans="1:16" ht="17" customHeight="1" x14ac:dyDescent="0.2">
      <c r="A7" s="18">
        <v>43288</v>
      </c>
      <c r="B7" s="19">
        <v>246</v>
      </c>
      <c r="C7" s="19">
        <v>13</v>
      </c>
      <c r="D7" s="19">
        <v>13</v>
      </c>
      <c r="E7" s="20">
        <v>413</v>
      </c>
      <c r="F7" s="20">
        <v>1253.6300000000001</v>
      </c>
      <c r="G7" s="20">
        <v>0</v>
      </c>
      <c r="H7" s="20">
        <v>28</v>
      </c>
      <c r="I7" s="20">
        <v>30</v>
      </c>
      <c r="J7" s="77">
        <v>280.5</v>
      </c>
      <c r="K7" s="76">
        <f t="shared" si="0"/>
        <v>2005.13</v>
      </c>
      <c r="L7" s="31">
        <f t="shared" si="1"/>
        <v>0.86010882087445706</v>
      </c>
      <c r="M7" s="31">
        <f t="shared" si="2"/>
        <v>1.3964181873494486E-2</v>
      </c>
      <c r="N7" s="31">
        <f t="shared" si="3"/>
        <v>0.13989117912554297</v>
      </c>
      <c r="O7" s="28">
        <f t="shared" si="4"/>
        <v>8.1509349593495948</v>
      </c>
      <c r="P7" s="72" t="s">
        <v>42</v>
      </c>
    </row>
    <row r="8" spans="1:16" ht="17" customHeight="1" x14ac:dyDescent="0.2">
      <c r="A8" s="17">
        <v>43295</v>
      </c>
      <c r="B8" s="19">
        <v>286</v>
      </c>
      <c r="C8" s="22">
        <v>15</v>
      </c>
      <c r="D8" s="19">
        <v>15</v>
      </c>
      <c r="E8" s="20">
        <v>360</v>
      </c>
      <c r="F8" s="20">
        <v>1462.3</v>
      </c>
      <c r="G8" s="20">
        <v>0</v>
      </c>
      <c r="H8" s="79">
        <v>36</v>
      </c>
      <c r="I8" s="79">
        <v>22</v>
      </c>
      <c r="J8" s="77">
        <v>347.5</v>
      </c>
      <c r="K8" s="76">
        <f t="shared" si="0"/>
        <v>2227.8000000000002</v>
      </c>
      <c r="L8" s="31">
        <f t="shared" si="1"/>
        <v>0.84401651853846837</v>
      </c>
      <c r="M8" s="31">
        <f t="shared" si="2"/>
        <v>1.6159439806086719E-2</v>
      </c>
      <c r="N8" s="31">
        <f t="shared" si="3"/>
        <v>0.15598348146153154</v>
      </c>
      <c r="O8" s="28">
        <f t="shared" si="4"/>
        <v>7.7895104895104899</v>
      </c>
      <c r="P8" s="72"/>
    </row>
    <row r="9" spans="1:16" ht="17" customHeight="1" x14ac:dyDescent="0.2">
      <c r="A9" s="18">
        <v>43302</v>
      </c>
      <c r="B9" s="21">
        <v>238</v>
      </c>
      <c r="C9" s="23">
        <v>14</v>
      </c>
      <c r="D9" s="19">
        <v>14</v>
      </c>
      <c r="E9" s="20">
        <v>534</v>
      </c>
      <c r="F9" s="20">
        <v>1489.05</v>
      </c>
      <c r="G9" s="20">
        <v>0</v>
      </c>
      <c r="H9" s="20">
        <v>44</v>
      </c>
      <c r="I9" s="20">
        <v>18</v>
      </c>
      <c r="J9" s="77">
        <v>242</v>
      </c>
      <c r="K9" s="76">
        <f t="shared" si="0"/>
        <v>2327.0500000000002</v>
      </c>
      <c r="L9" s="31">
        <f t="shared" si="1"/>
        <v>0.8960056724178681</v>
      </c>
      <c r="M9" s="31">
        <f t="shared" si="2"/>
        <v>1.8908059560387613E-2</v>
      </c>
      <c r="N9" s="31">
        <f t="shared" si="3"/>
        <v>0.10399432758213188</v>
      </c>
      <c r="O9" s="28">
        <f t="shared" si="4"/>
        <v>9.7775210084033617</v>
      </c>
      <c r="P9" s="72" t="s">
        <v>41</v>
      </c>
    </row>
    <row r="10" spans="1:16" ht="17" customHeight="1" x14ac:dyDescent="0.2">
      <c r="A10" s="18">
        <v>43309</v>
      </c>
      <c r="B10" s="19">
        <v>396</v>
      </c>
      <c r="C10" s="22">
        <v>17</v>
      </c>
      <c r="D10" s="19">
        <v>17</v>
      </c>
      <c r="E10" s="20">
        <v>450</v>
      </c>
      <c r="F10" s="20">
        <v>2241.1999999999998</v>
      </c>
      <c r="G10" s="20">
        <v>0</v>
      </c>
      <c r="H10" s="20">
        <v>48</v>
      </c>
      <c r="I10" s="20">
        <v>68</v>
      </c>
      <c r="J10" s="77">
        <v>289</v>
      </c>
      <c r="K10" s="76">
        <f t="shared" si="0"/>
        <v>3096.2</v>
      </c>
      <c r="L10" s="31">
        <f t="shared" si="1"/>
        <v>0.90665977650022611</v>
      </c>
      <c r="M10" s="31">
        <f t="shared" si="2"/>
        <v>1.5502874491311932E-2</v>
      </c>
      <c r="N10" s="31">
        <f t="shared" si="3"/>
        <v>9.3340223499773917E-2</v>
      </c>
      <c r="O10" s="28">
        <f t="shared" si="4"/>
        <v>7.8186868686868678</v>
      </c>
      <c r="P10" s="72" t="s">
        <v>40</v>
      </c>
    </row>
    <row r="11" spans="1:16" ht="17" customHeight="1" x14ac:dyDescent="0.2">
      <c r="A11" s="17">
        <v>43316</v>
      </c>
      <c r="B11" s="22">
        <v>320</v>
      </c>
      <c r="C11" s="22">
        <v>11</v>
      </c>
      <c r="D11" s="22">
        <v>11</v>
      </c>
      <c r="E11" s="20">
        <v>415</v>
      </c>
      <c r="F11" s="20">
        <v>1239.1600000000001</v>
      </c>
      <c r="G11" s="20">
        <v>0</v>
      </c>
      <c r="H11" s="20">
        <v>36</v>
      </c>
      <c r="I11" s="20">
        <v>12</v>
      </c>
      <c r="J11" s="77">
        <v>438</v>
      </c>
      <c r="K11" s="76">
        <f t="shared" si="0"/>
        <v>2140.16</v>
      </c>
      <c r="L11" s="31">
        <f t="shared" si="1"/>
        <v>0.79534240430622016</v>
      </c>
      <c r="M11" s="31">
        <f t="shared" si="2"/>
        <v>1.6821172248803831E-2</v>
      </c>
      <c r="N11" s="31">
        <f t="shared" si="3"/>
        <v>0.20465759569377992</v>
      </c>
      <c r="O11" s="28">
        <f t="shared" si="4"/>
        <v>6.6879999999999997</v>
      </c>
      <c r="P11" s="72"/>
    </row>
    <row r="12" spans="1:16" ht="17" customHeight="1" x14ac:dyDescent="0.2">
      <c r="A12" s="18">
        <v>43323</v>
      </c>
      <c r="B12" s="22">
        <v>181</v>
      </c>
      <c r="C12" s="22">
        <v>10</v>
      </c>
      <c r="D12" s="22">
        <v>10</v>
      </c>
      <c r="E12" s="20">
        <v>355</v>
      </c>
      <c r="F12" s="20">
        <v>1054.3399999999999</v>
      </c>
      <c r="G12" s="20">
        <v>0</v>
      </c>
      <c r="H12" s="20">
        <v>16</v>
      </c>
      <c r="I12" s="20">
        <v>18</v>
      </c>
      <c r="J12" s="77">
        <v>271</v>
      </c>
      <c r="K12" s="76">
        <f t="shared" si="0"/>
        <v>1714.34</v>
      </c>
      <c r="L12" s="31">
        <f t="shared" si="1"/>
        <v>0.84192167248037142</v>
      </c>
      <c r="M12" s="31">
        <f t="shared" si="2"/>
        <v>9.3330377871367418E-3</v>
      </c>
      <c r="N12" s="31">
        <f t="shared" si="3"/>
        <v>0.15807832751962855</v>
      </c>
      <c r="O12" s="28">
        <f t="shared" si="4"/>
        <v>9.4714917127071825</v>
      </c>
      <c r="P12" s="72" t="s">
        <v>55</v>
      </c>
    </row>
    <row r="13" spans="1:16" ht="17" customHeight="1" x14ac:dyDescent="0.2">
      <c r="A13" s="18">
        <v>43330</v>
      </c>
      <c r="B13" s="117">
        <v>440</v>
      </c>
      <c r="C13" s="117">
        <v>20</v>
      </c>
      <c r="D13" s="117">
        <v>20</v>
      </c>
      <c r="E13" s="116">
        <v>597</v>
      </c>
      <c r="F13" s="116">
        <v>4297.72</v>
      </c>
      <c r="G13" s="116">
        <v>0</v>
      </c>
      <c r="H13" s="116">
        <v>64</v>
      </c>
      <c r="I13" s="116">
        <v>48</v>
      </c>
      <c r="J13" s="115">
        <v>747.5</v>
      </c>
      <c r="K13" s="114">
        <f t="shared" si="0"/>
        <v>5754.22</v>
      </c>
      <c r="L13" s="113">
        <f t="shared" si="1"/>
        <v>0.87009533872531808</v>
      </c>
      <c r="M13" s="113">
        <f t="shared" si="2"/>
        <v>1.112227200211323E-2</v>
      </c>
      <c r="N13" s="113">
        <f t="shared" si="3"/>
        <v>0.12990466127468189</v>
      </c>
      <c r="O13" s="112">
        <f t="shared" si="4"/>
        <v>13.077772727272729</v>
      </c>
      <c r="P13" s="111" t="s">
        <v>38</v>
      </c>
    </row>
    <row r="14" spans="1:16" ht="17" customHeight="1" x14ac:dyDescent="0.2">
      <c r="A14" s="17">
        <v>43337</v>
      </c>
      <c r="B14" s="22">
        <v>257</v>
      </c>
      <c r="C14" s="22">
        <v>13</v>
      </c>
      <c r="D14" s="22">
        <v>13</v>
      </c>
      <c r="E14" s="20">
        <v>457</v>
      </c>
      <c r="F14" s="20">
        <v>1569.36</v>
      </c>
      <c r="G14" s="20">
        <v>0</v>
      </c>
      <c r="H14" s="20">
        <v>48</v>
      </c>
      <c r="I14" s="20">
        <v>30</v>
      </c>
      <c r="J14" s="77">
        <v>518</v>
      </c>
      <c r="K14" s="76">
        <f t="shared" si="0"/>
        <v>2622.3599999999997</v>
      </c>
      <c r="L14" s="31">
        <f t="shared" si="1"/>
        <v>0.80246800591833312</v>
      </c>
      <c r="M14" s="31">
        <f t="shared" si="2"/>
        <v>1.8304123003706586E-2</v>
      </c>
      <c r="N14" s="31">
        <f t="shared" si="3"/>
        <v>0.19753199408166691</v>
      </c>
      <c r="O14" s="28">
        <f t="shared" si="4"/>
        <v>10.203735408560309</v>
      </c>
      <c r="P14" s="72"/>
    </row>
    <row r="15" spans="1:16" ht="17" customHeight="1" x14ac:dyDescent="0.2">
      <c r="A15" s="18">
        <v>43344</v>
      </c>
      <c r="B15" s="22">
        <v>275</v>
      </c>
      <c r="C15" s="22">
        <v>14</v>
      </c>
      <c r="D15" s="22">
        <v>14</v>
      </c>
      <c r="E15" s="20">
        <v>287</v>
      </c>
      <c r="F15" s="20">
        <v>1745.19</v>
      </c>
      <c r="G15" s="20">
        <v>0</v>
      </c>
      <c r="H15" s="20">
        <v>36</v>
      </c>
      <c r="I15" s="20">
        <v>24</v>
      </c>
      <c r="J15" s="77">
        <v>385</v>
      </c>
      <c r="K15" s="76">
        <f t="shared" si="0"/>
        <v>2477.19</v>
      </c>
      <c r="L15" s="31">
        <f t="shared" si="1"/>
        <v>0.84458196585647449</v>
      </c>
      <c r="M15" s="31">
        <f t="shared" si="2"/>
        <v>1.4532595400433555E-2</v>
      </c>
      <c r="N15" s="31">
        <f t="shared" si="3"/>
        <v>0.15541803414352554</v>
      </c>
      <c r="O15" s="28">
        <f t="shared" si="4"/>
        <v>9.0079636363636357</v>
      </c>
      <c r="P15" s="72"/>
    </row>
    <row r="16" spans="1:16" ht="17" customHeight="1" x14ac:dyDescent="0.2">
      <c r="A16" s="18">
        <v>43351</v>
      </c>
      <c r="B16" s="22">
        <v>248</v>
      </c>
      <c r="C16" s="22">
        <v>15</v>
      </c>
      <c r="D16" s="22">
        <v>15</v>
      </c>
      <c r="E16" s="20">
        <v>72</v>
      </c>
      <c r="F16" s="20">
        <v>1388.52</v>
      </c>
      <c r="G16" s="20">
        <v>0</v>
      </c>
      <c r="H16" s="20">
        <v>36</v>
      </c>
      <c r="I16" s="20">
        <v>30</v>
      </c>
      <c r="J16" s="77">
        <v>190</v>
      </c>
      <c r="K16" s="76">
        <f t="shared" si="0"/>
        <v>1716.52</v>
      </c>
      <c r="L16" s="31">
        <f t="shared" si="1"/>
        <v>0.88931093141938344</v>
      </c>
      <c r="M16" s="31">
        <f t="shared" si="2"/>
        <v>2.0972665625801041E-2</v>
      </c>
      <c r="N16" s="31">
        <f t="shared" si="3"/>
        <v>0.1106890685806166</v>
      </c>
      <c r="O16" s="28">
        <f t="shared" si="4"/>
        <v>6.9214516129032253</v>
      </c>
      <c r="P16" s="72" t="s">
        <v>35</v>
      </c>
    </row>
    <row r="17" spans="1:16" ht="17" customHeight="1" x14ac:dyDescent="0.2">
      <c r="A17" s="17">
        <v>43358</v>
      </c>
      <c r="B17" s="22">
        <v>159</v>
      </c>
      <c r="C17" s="22">
        <v>8</v>
      </c>
      <c r="D17" s="22">
        <v>8</v>
      </c>
      <c r="E17" s="20">
        <v>0</v>
      </c>
      <c r="F17" s="20">
        <v>886.09</v>
      </c>
      <c r="G17" s="20">
        <v>0</v>
      </c>
      <c r="H17" s="20">
        <v>84</v>
      </c>
      <c r="I17" s="20">
        <v>14</v>
      </c>
      <c r="J17" s="77">
        <v>448.5</v>
      </c>
      <c r="K17" s="76">
        <f t="shared" si="0"/>
        <v>1432.5900000000001</v>
      </c>
      <c r="L17" s="31">
        <f t="shared" si="1"/>
        <v>0.68693066404204972</v>
      </c>
      <c r="M17" s="31">
        <f t="shared" si="2"/>
        <v>5.8635059577408742E-2</v>
      </c>
      <c r="N17" s="31">
        <f t="shared" si="3"/>
        <v>0.31306933595795028</v>
      </c>
      <c r="O17" s="28">
        <f t="shared" si="4"/>
        <v>9.0100000000000016</v>
      </c>
      <c r="P17" s="72" t="s">
        <v>56</v>
      </c>
    </row>
    <row r="18" spans="1:16" ht="17" customHeight="1" x14ac:dyDescent="0.2">
      <c r="A18" s="18">
        <v>43365</v>
      </c>
      <c r="B18" s="110">
        <v>127</v>
      </c>
      <c r="C18" s="110">
        <v>10</v>
      </c>
      <c r="D18" s="110">
        <v>10</v>
      </c>
      <c r="E18" s="109">
        <v>350</v>
      </c>
      <c r="F18" s="109">
        <v>844.6</v>
      </c>
      <c r="G18" s="109">
        <v>0</v>
      </c>
      <c r="H18" s="109">
        <v>111.75</v>
      </c>
      <c r="I18" s="109">
        <v>8</v>
      </c>
      <c r="J18" s="108">
        <v>76.5</v>
      </c>
      <c r="K18" s="107">
        <f t="shared" si="0"/>
        <v>1390.85</v>
      </c>
      <c r="L18" s="106">
        <f t="shared" si="1"/>
        <v>0.94499766329942125</v>
      </c>
      <c r="M18" s="106">
        <f t="shared" si="2"/>
        <v>8.0346550670453321E-2</v>
      </c>
      <c r="N18" s="106">
        <f t="shared" si="3"/>
        <v>5.5002336700578788E-2</v>
      </c>
      <c r="O18" s="105">
        <f t="shared" si="4"/>
        <v>10.951574803149606</v>
      </c>
      <c r="P18" s="104" t="s">
        <v>55</v>
      </c>
    </row>
    <row r="19" spans="1:16" ht="17" customHeight="1" x14ac:dyDescent="0.2">
      <c r="A19" s="18">
        <v>43372</v>
      </c>
      <c r="B19" s="24">
        <v>195</v>
      </c>
      <c r="C19" s="24">
        <v>10</v>
      </c>
      <c r="D19" s="24">
        <v>10</v>
      </c>
      <c r="E19" s="25">
        <v>454</v>
      </c>
      <c r="F19" s="25">
        <v>1258.22</v>
      </c>
      <c r="G19" s="25">
        <v>0</v>
      </c>
      <c r="H19" s="25">
        <v>28</v>
      </c>
      <c r="I19" s="25">
        <v>12</v>
      </c>
      <c r="J19" s="26">
        <v>476</v>
      </c>
      <c r="K19" s="8">
        <f t="shared" si="0"/>
        <v>2228.2200000000003</v>
      </c>
      <c r="L19" s="32">
        <f t="shared" si="1"/>
        <v>0.78637656963854552</v>
      </c>
      <c r="M19" s="32">
        <f t="shared" si="2"/>
        <v>1.2566084138909082E-2</v>
      </c>
      <c r="N19" s="32">
        <f t="shared" si="3"/>
        <v>0.2136234303614544</v>
      </c>
      <c r="O19" s="29">
        <f t="shared" si="4"/>
        <v>11.426769230769231</v>
      </c>
      <c r="P19" s="72" t="s">
        <v>34</v>
      </c>
    </row>
    <row r="20" spans="1:16" ht="17" customHeight="1" x14ac:dyDescent="0.2">
      <c r="A20" s="27"/>
      <c r="B20" s="24"/>
      <c r="C20" s="24"/>
      <c r="D20" s="24"/>
      <c r="E20" s="25"/>
      <c r="F20" s="25"/>
      <c r="G20" s="25"/>
      <c r="H20" s="25"/>
      <c r="I20" s="25"/>
      <c r="J20" s="26"/>
      <c r="K20" s="8">
        <f t="shared" si="0"/>
        <v>0</v>
      </c>
      <c r="L20" s="32"/>
      <c r="M20" s="32"/>
      <c r="N20" s="32"/>
      <c r="O20" s="29"/>
    </row>
    <row r="21" spans="1:16" ht="17" customHeight="1" thickBot="1" x14ac:dyDescent="0.25">
      <c r="A21" s="103"/>
      <c r="B21" s="102"/>
      <c r="C21" s="102"/>
      <c r="D21" s="102"/>
      <c r="E21" s="101"/>
      <c r="F21" s="101"/>
      <c r="G21" s="101"/>
      <c r="H21" s="101"/>
      <c r="I21" s="101"/>
      <c r="J21" s="100"/>
      <c r="K21" s="99">
        <f t="shared" si="0"/>
        <v>0</v>
      </c>
      <c r="L21" s="98"/>
      <c r="M21" s="98"/>
      <c r="N21" s="98"/>
      <c r="O21" s="97"/>
    </row>
    <row r="22" spans="1:16" ht="15.75" customHeight="1" thickBot="1" x14ac:dyDescent="0.25">
      <c r="A22" s="96"/>
      <c r="B22" s="95"/>
      <c r="C22" s="95"/>
      <c r="D22" s="94"/>
      <c r="E22" s="93">
        <f t="shared" ref="E22:J22" si="5">SUM(E2:E21)</f>
        <v>7050.5599999999995</v>
      </c>
      <c r="F22" s="92">
        <f t="shared" si="5"/>
        <v>27891.67</v>
      </c>
      <c r="G22" s="91">
        <f t="shared" si="5"/>
        <v>8</v>
      </c>
      <c r="H22" s="91">
        <f t="shared" si="5"/>
        <v>671.75</v>
      </c>
      <c r="I22" s="91">
        <f t="shared" si="5"/>
        <v>532</v>
      </c>
      <c r="J22" s="90">
        <f t="shared" si="5"/>
        <v>8113.45</v>
      </c>
      <c r="K22" s="89">
        <f t="shared" si="0"/>
        <v>44267.429999999993</v>
      </c>
      <c r="L22" s="88">
        <f>SUM(E22+F22+G22+H22+I22)/K22</f>
        <v>0.81671739244857899</v>
      </c>
      <c r="M22" s="87">
        <f>SUM(G22+H22)/K22</f>
        <v>1.535553340232311E-2</v>
      </c>
      <c r="N22" s="87">
        <f>J22/K22</f>
        <v>0.18328260755142101</v>
      </c>
      <c r="O22" s="86"/>
    </row>
    <row r="23" spans="1:16" ht="15" customHeight="1" x14ac:dyDescent="0.2">
      <c r="A23" s="71"/>
      <c r="F23" s="10"/>
      <c r="G23" s="10"/>
    </row>
    <row r="24" spans="1:16" ht="15" customHeight="1" x14ac:dyDescent="0.2">
      <c r="D24" s="11"/>
      <c r="E24" s="12"/>
      <c r="F24" s="10"/>
      <c r="G24" s="10"/>
    </row>
    <row r="25" spans="1:16" ht="15" customHeight="1" x14ac:dyDescent="0.2">
      <c r="A25" s="13"/>
      <c r="G25" s="14"/>
      <c r="K25" s="14"/>
    </row>
    <row r="26" spans="1:16" ht="15" customHeight="1" x14ac:dyDescent="0.2">
      <c r="A26" s="13"/>
      <c r="E26" s="15"/>
      <c r="F26" s="14"/>
      <c r="G26" s="14"/>
      <c r="K26" s="14"/>
      <c r="L26" s="34"/>
      <c r="M26" s="34"/>
      <c r="N26" s="34"/>
    </row>
    <row r="27" spans="1:16" ht="15" customHeight="1" x14ac:dyDescent="0.2">
      <c r="A27" s="16"/>
      <c r="G27" s="14"/>
      <c r="K27" s="14"/>
    </row>
    <row r="28" spans="1:16" ht="15" customHeight="1" x14ac:dyDescent="0.2">
      <c r="A28" s="13"/>
      <c r="G28" s="14"/>
      <c r="J28" s="10"/>
      <c r="K28" s="14"/>
    </row>
  </sheetData>
  <printOptions horizontalCentered="1" verticalCentered="1"/>
  <pageMargins left="0.25" right="0.25" top="0.75" bottom="0.75" header="1.05" footer="0.3"/>
  <pageSetup scale="69" orientation="landscape" r:id="rId1"/>
  <headerFooter>
    <oddHeader>&amp;C&amp;"Calibri,Bold"&amp;36&amp;K000000CLATSKANIE FARMERS MARKET &amp;11
&amp;18 &amp;28 &amp;K0000002018 Statistics</oddHeader>
    <oddFooter>&amp;L&amp;"Helvetica,Regular"&amp;K000000&amp;P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01971-4374-4427-A734-C3B5F6002C8E}">
  <dimension ref="A1"/>
  <sheetViews>
    <sheetView workbookViewId="0"/>
  </sheetViews>
  <sheetFormatPr baseColWidth="10" defaultColWidth="8.625" defaultRowHeight="16" x14ac:dyDescent="0.2"/>
  <sheetData>
    <row r="1" spans="1:1" ht="85" x14ac:dyDescent="0.2">
      <c r="A1" s="7" t="s">
        <v>111</v>
      </c>
    </row>
  </sheetData>
  <pageMargins left="0.7" right="0.7" top="0.75" bottom="0.75" header="0.3" footer="0.3"/>
  <pageSetup orientation="landscape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7383A-1234-4685-8202-59F0340A9660}">
  <dimension ref="A1"/>
  <sheetViews>
    <sheetView workbookViewId="0">
      <selection activeCell="G16" sqref="G16"/>
    </sheetView>
  </sheetViews>
  <sheetFormatPr baseColWidth="10" defaultColWidth="8.625" defaultRowHeight="16" x14ac:dyDescent="0.2"/>
  <sheetData>
    <row r="1" spans="1:1" ht="85" x14ac:dyDescent="0.2">
      <c r="A1" s="7" t="s">
        <v>111</v>
      </c>
    </row>
  </sheetData>
  <pageMargins left="0.7" right="0.7" top="0.75" bottom="0.75" header="0.3" footer="0.3"/>
  <pageSetup orientation="landscape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F1147-2BA4-42F1-8DCF-A2091635B41A}">
  <dimension ref="A1:IW21"/>
  <sheetViews>
    <sheetView showGridLines="0" topLeftCell="A7" workbookViewId="0">
      <selection activeCell="F19" sqref="F19"/>
    </sheetView>
  </sheetViews>
  <sheetFormatPr baseColWidth="10" defaultColWidth="6.625" defaultRowHeight="15" customHeight="1" x14ac:dyDescent="0.2"/>
  <cols>
    <col min="1" max="2" width="6.625" style="118" customWidth="1"/>
    <col min="3" max="5" width="7.75" style="118" customWidth="1"/>
    <col min="6" max="6" width="13.75" style="118" customWidth="1"/>
    <col min="7" max="7" width="8.75" style="118" customWidth="1"/>
    <col min="8" max="9" width="8.625" style="118" customWidth="1"/>
    <col min="10" max="12" width="7.75" style="118" customWidth="1"/>
    <col min="13" max="257" width="6.625" style="118" customWidth="1"/>
    <col min="258" max="16384" width="6.625" style="82"/>
  </cols>
  <sheetData>
    <row r="1" spans="1:13" ht="51.5" customHeight="1" thickBot="1" x14ac:dyDescent="0.25">
      <c r="A1" s="142" t="s">
        <v>0</v>
      </c>
      <c r="B1" s="140" t="s">
        <v>1</v>
      </c>
      <c r="C1" s="140" t="s">
        <v>2</v>
      </c>
      <c r="D1" s="140" t="s">
        <v>68</v>
      </c>
      <c r="E1" s="140" t="s">
        <v>67</v>
      </c>
      <c r="F1" s="140" t="s">
        <v>66</v>
      </c>
      <c r="G1" s="140" t="s">
        <v>65</v>
      </c>
      <c r="H1" s="141" t="s">
        <v>9</v>
      </c>
      <c r="I1" s="217" t="s">
        <v>100</v>
      </c>
      <c r="J1" s="140" t="s">
        <v>10</v>
      </c>
      <c r="K1" s="140" t="s">
        <v>64</v>
      </c>
      <c r="L1" s="139" t="s">
        <v>12</v>
      </c>
      <c r="M1" s="138" t="s">
        <v>13</v>
      </c>
    </row>
    <row r="2" spans="1:13" ht="17" customHeight="1" x14ac:dyDescent="0.2">
      <c r="A2" s="132">
        <v>42161</v>
      </c>
      <c r="B2" s="128">
        <v>328</v>
      </c>
      <c r="C2" s="128">
        <v>18</v>
      </c>
      <c r="D2" s="128">
        <v>16</v>
      </c>
      <c r="E2" s="130">
        <v>409.55</v>
      </c>
      <c r="F2" s="130"/>
      <c r="G2" s="130">
        <v>1320</v>
      </c>
      <c r="H2" s="129">
        <f>SUM(E2,G2)</f>
        <v>1729.55</v>
      </c>
      <c r="I2" s="129">
        <f>SUM(E2,G2)</f>
        <v>1729.55</v>
      </c>
      <c r="J2" s="128">
        <v>0.24</v>
      </c>
      <c r="K2" s="128">
        <v>0</v>
      </c>
      <c r="L2" s="127">
        <v>0.76</v>
      </c>
      <c r="M2" s="121">
        <v>5.27</v>
      </c>
    </row>
    <row r="3" spans="1:13" ht="17" customHeight="1" x14ac:dyDescent="0.2">
      <c r="A3" s="132">
        <v>42168</v>
      </c>
      <c r="B3" s="128">
        <v>317</v>
      </c>
      <c r="C3" s="128">
        <v>20</v>
      </c>
      <c r="D3" s="128">
        <v>16</v>
      </c>
      <c r="E3" s="130">
        <v>558.9</v>
      </c>
      <c r="F3" s="130">
        <v>2</v>
      </c>
      <c r="G3" s="130">
        <v>901.5</v>
      </c>
      <c r="H3" s="129">
        <v>1474.4</v>
      </c>
      <c r="I3" s="218">
        <f t="shared" ref="I3:I19" si="0">SUM(E3,G3)</f>
        <v>1460.4</v>
      </c>
      <c r="J3" s="128">
        <v>0.38</v>
      </c>
      <c r="K3" s="128">
        <v>0.01</v>
      </c>
      <c r="L3" s="127">
        <v>0.61</v>
      </c>
      <c r="M3" s="121">
        <v>4.6500000000000004</v>
      </c>
    </row>
    <row r="4" spans="1:13" ht="17" customHeight="1" x14ac:dyDescent="0.2">
      <c r="A4" s="132">
        <v>42175</v>
      </c>
      <c r="B4" s="128">
        <v>217</v>
      </c>
      <c r="C4" s="128">
        <v>13</v>
      </c>
      <c r="D4" s="135">
        <v>13</v>
      </c>
      <c r="E4" s="130">
        <v>365.15</v>
      </c>
      <c r="F4" s="130">
        <v>8</v>
      </c>
      <c r="G4" s="130">
        <v>934</v>
      </c>
      <c r="H4" s="129">
        <f t="shared" ref="H4:H11" si="1">SUM(E4,G4)</f>
        <v>1299.1500000000001</v>
      </c>
      <c r="I4" s="129">
        <f t="shared" si="0"/>
        <v>1299.1500000000001</v>
      </c>
      <c r="J4" s="128">
        <v>0.28000000000000003</v>
      </c>
      <c r="K4" s="128">
        <v>8.9999999999999993E-3</v>
      </c>
      <c r="L4" s="127">
        <v>0.72</v>
      </c>
      <c r="M4" s="121">
        <v>5.99</v>
      </c>
    </row>
    <row r="5" spans="1:13" ht="17" customHeight="1" x14ac:dyDescent="0.2">
      <c r="A5" s="132">
        <v>42182</v>
      </c>
      <c r="B5" s="128">
        <v>496</v>
      </c>
      <c r="C5" s="128">
        <v>16</v>
      </c>
      <c r="D5" s="135">
        <v>16</v>
      </c>
      <c r="E5" s="130">
        <v>341.05</v>
      </c>
      <c r="F5" s="130">
        <v>5</v>
      </c>
      <c r="G5" s="130">
        <v>1118.75</v>
      </c>
      <c r="H5" s="129">
        <f t="shared" si="1"/>
        <v>1459.8</v>
      </c>
      <c r="I5" s="129">
        <f t="shared" si="0"/>
        <v>1459.8</v>
      </c>
      <c r="J5" s="128">
        <v>0.23</v>
      </c>
      <c r="K5" s="128">
        <v>3.0000000000000001E-3</v>
      </c>
      <c r="L5" s="127">
        <v>0.77</v>
      </c>
      <c r="M5" s="121">
        <v>2.94</v>
      </c>
    </row>
    <row r="6" spans="1:13" ht="17" customHeight="1" x14ac:dyDescent="0.2">
      <c r="A6" s="132">
        <v>42189</v>
      </c>
      <c r="B6" s="128">
        <v>702</v>
      </c>
      <c r="C6" s="128">
        <v>14</v>
      </c>
      <c r="D6" s="128">
        <v>13</v>
      </c>
      <c r="E6" s="130">
        <v>411</v>
      </c>
      <c r="F6" s="130">
        <v>0</v>
      </c>
      <c r="G6" s="130">
        <v>1613</v>
      </c>
      <c r="H6" s="129">
        <f t="shared" si="1"/>
        <v>2024</v>
      </c>
      <c r="I6" s="129">
        <f t="shared" si="0"/>
        <v>2024</v>
      </c>
      <c r="J6" s="128">
        <v>0.2</v>
      </c>
      <c r="K6" s="128">
        <v>0</v>
      </c>
      <c r="L6" s="127">
        <v>0.8</v>
      </c>
      <c r="M6" s="121">
        <v>2.88</v>
      </c>
    </row>
    <row r="7" spans="1:13" ht="17" customHeight="1" x14ac:dyDescent="0.2">
      <c r="A7" s="132">
        <v>42196</v>
      </c>
      <c r="B7" s="128">
        <v>133</v>
      </c>
      <c r="C7" s="131">
        <v>12</v>
      </c>
      <c r="D7" s="135">
        <v>12</v>
      </c>
      <c r="E7" s="130">
        <v>365</v>
      </c>
      <c r="F7" s="137">
        <v>10</v>
      </c>
      <c r="G7" s="130">
        <v>705.25</v>
      </c>
      <c r="H7" s="129">
        <f t="shared" si="1"/>
        <v>1070.25</v>
      </c>
      <c r="I7" s="129">
        <f t="shared" si="0"/>
        <v>1070.25</v>
      </c>
      <c r="J7" s="128">
        <v>0.34</v>
      </c>
      <c r="K7" s="136">
        <v>8.9999999999999993E-3</v>
      </c>
      <c r="L7" s="127">
        <v>0.66</v>
      </c>
      <c r="M7" s="121">
        <v>8.0399999999999991</v>
      </c>
    </row>
    <row r="8" spans="1:13" ht="17" customHeight="1" x14ac:dyDescent="0.2">
      <c r="A8" s="132">
        <v>42203</v>
      </c>
      <c r="B8" s="128">
        <v>152</v>
      </c>
      <c r="C8" s="131">
        <v>10</v>
      </c>
      <c r="D8" s="135">
        <v>10</v>
      </c>
      <c r="E8" s="130">
        <v>343.25</v>
      </c>
      <c r="F8" s="130"/>
      <c r="G8" s="130">
        <v>705.75</v>
      </c>
      <c r="H8" s="129">
        <f t="shared" si="1"/>
        <v>1049</v>
      </c>
      <c r="I8" s="129">
        <f t="shared" si="0"/>
        <v>1049</v>
      </c>
      <c r="J8" s="128">
        <v>0.33</v>
      </c>
      <c r="K8" s="134">
        <v>0</v>
      </c>
      <c r="L8" s="127">
        <v>0.67</v>
      </c>
      <c r="M8" s="121">
        <v>6.9</v>
      </c>
    </row>
    <row r="9" spans="1:13" ht="17" customHeight="1" x14ac:dyDescent="0.2">
      <c r="A9" s="132">
        <v>42210</v>
      </c>
      <c r="B9" s="128">
        <v>198</v>
      </c>
      <c r="C9" s="131">
        <v>10</v>
      </c>
      <c r="D9" s="128">
        <v>9</v>
      </c>
      <c r="E9" s="130">
        <v>392.88</v>
      </c>
      <c r="F9" s="130"/>
      <c r="G9" s="130">
        <v>867</v>
      </c>
      <c r="H9" s="129">
        <f t="shared" si="1"/>
        <v>1259.8800000000001</v>
      </c>
      <c r="I9" s="129">
        <f t="shared" si="0"/>
        <v>1259.8800000000001</v>
      </c>
      <c r="J9" s="128">
        <v>0.31</v>
      </c>
      <c r="K9" s="134">
        <v>0</v>
      </c>
      <c r="L9" s="127">
        <v>0.69</v>
      </c>
      <c r="M9" s="121">
        <v>6.36</v>
      </c>
    </row>
    <row r="10" spans="1:13" ht="17" customHeight="1" x14ac:dyDescent="0.2">
      <c r="A10" s="132">
        <v>42217</v>
      </c>
      <c r="B10" s="131">
        <v>298</v>
      </c>
      <c r="C10" s="131">
        <v>9</v>
      </c>
      <c r="D10" s="131">
        <v>9</v>
      </c>
      <c r="E10" s="130">
        <v>653.52</v>
      </c>
      <c r="F10" s="130"/>
      <c r="G10" s="130">
        <v>544.5</v>
      </c>
      <c r="H10" s="129">
        <f t="shared" si="1"/>
        <v>1198.02</v>
      </c>
      <c r="I10" s="129">
        <f t="shared" si="0"/>
        <v>1198.02</v>
      </c>
      <c r="J10" s="128">
        <v>0.55000000000000004</v>
      </c>
      <c r="K10" s="128">
        <f>QUOTIENT(F10,H10)</f>
        <v>0</v>
      </c>
      <c r="L10" s="127">
        <v>0.45</v>
      </c>
      <c r="M10" s="121">
        <v>4.0199999999999996</v>
      </c>
    </row>
    <row r="11" spans="1:13" ht="17" customHeight="1" x14ac:dyDescent="0.2">
      <c r="A11" s="132">
        <v>42224</v>
      </c>
      <c r="B11" s="131">
        <v>216</v>
      </c>
      <c r="C11" s="131">
        <v>12</v>
      </c>
      <c r="D11" s="131">
        <v>10</v>
      </c>
      <c r="E11" s="130">
        <v>593.70000000000005</v>
      </c>
      <c r="F11" s="130">
        <v>59</v>
      </c>
      <c r="G11" s="130">
        <v>519.5</v>
      </c>
      <c r="H11" s="129">
        <f t="shared" si="1"/>
        <v>1113.2</v>
      </c>
      <c r="I11" s="129">
        <f t="shared" si="0"/>
        <v>1113.2</v>
      </c>
      <c r="J11" s="128">
        <v>0.53</v>
      </c>
      <c r="K11" s="128">
        <v>0.05</v>
      </c>
      <c r="L11" s="127">
        <v>0.42</v>
      </c>
      <c r="M11" s="121">
        <v>5.15</v>
      </c>
    </row>
    <row r="12" spans="1:13" ht="17" customHeight="1" x14ac:dyDescent="0.2">
      <c r="A12" s="132">
        <v>42231</v>
      </c>
      <c r="B12" s="131">
        <v>177</v>
      </c>
      <c r="C12" s="131">
        <v>11</v>
      </c>
      <c r="D12" s="133">
        <v>11</v>
      </c>
      <c r="E12" s="130">
        <v>499.6</v>
      </c>
      <c r="F12" s="130">
        <v>20</v>
      </c>
      <c r="G12" s="130">
        <v>469</v>
      </c>
      <c r="H12" s="129">
        <v>968.6</v>
      </c>
      <c r="I12" s="129">
        <f t="shared" si="0"/>
        <v>968.6</v>
      </c>
      <c r="J12" s="128">
        <v>0.52</v>
      </c>
      <c r="K12" s="128">
        <v>0.02</v>
      </c>
      <c r="L12" s="127">
        <v>0.46</v>
      </c>
      <c r="M12" s="121">
        <v>5.47</v>
      </c>
    </row>
    <row r="13" spans="1:13" ht="17" customHeight="1" x14ac:dyDescent="0.2">
      <c r="A13" s="132">
        <v>42238</v>
      </c>
      <c r="B13" s="131">
        <v>193</v>
      </c>
      <c r="C13" s="131">
        <v>13</v>
      </c>
      <c r="D13" s="131">
        <v>9</v>
      </c>
      <c r="E13" s="130">
        <v>485.5</v>
      </c>
      <c r="F13" s="130">
        <v>41</v>
      </c>
      <c r="G13" s="130">
        <v>561.5</v>
      </c>
      <c r="H13" s="129">
        <f>SUM(E13,G13)</f>
        <v>1047</v>
      </c>
      <c r="I13" s="129">
        <f t="shared" si="0"/>
        <v>1047</v>
      </c>
      <c r="J13" s="128">
        <v>0.46</v>
      </c>
      <c r="K13" s="128">
        <v>0.04</v>
      </c>
      <c r="L13" s="127">
        <v>0.5</v>
      </c>
      <c r="M13" s="121">
        <v>5.42</v>
      </c>
    </row>
    <row r="14" spans="1:13" ht="17" customHeight="1" x14ac:dyDescent="0.2">
      <c r="A14" s="132">
        <v>42245</v>
      </c>
      <c r="B14" s="131" t="s">
        <v>63</v>
      </c>
      <c r="C14" s="131">
        <v>8</v>
      </c>
      <c r="D14" s="131">
        <v>6</v>
      </c>
      <c r="E14" s="130">
        <v>298</v>
      </c>
      <c r="F14" s="130">
        <v>12</v>
      </c>
      <c r="G14" s="130">
        <v>191</v>
      </c>
      <c r="H14" s="129">
        <f>SUM(E14,G14)</f>
        <v>489</v>
      </c>
      <c r="I14" s="129">
        <f t="shared" si="0"/>
        <v>489</v>
      </c>
      <c r="J14" s="128">
        <v>0.61</v>
      </c>
      <c r="K14" s="128">
        <v>0.02</v>
      </c>
      <c r="L14" s="127">
        <v>0.27</v>
      </c>
      <c r="M14" s="121">
        <v>11.64</v>
      </c>
    </row>
    <row r="15" spans="1:13" ht="17" customHeight="1" x14ac:dyDescent="0.2">
      <c r="A15" s="132">
        <v>42252</v>
      </c>
      <c r="B15" s="131">
        <v>169</v>
      </c>
      <c r="C15" s="131">
        <v>10</v>
      </c>
      <c r="D15" s="133">
        <v>10</v>
      </c>
      <c r="E15" s="130">
        <v>459.5</v>
      </c>
      <c r="F15" s="130">
        <v>4</v>
      </c>
      <c r="G15" s="130">
        <v>665</v>
      </c>
      <c r="H15" s="129">
        <f>SUM(E15,G15)</f>
        <v>1124.5</v>
      </c>
      <c r="I15" s="129">
        <f t="shared" si="0"/>
        <v>1124.5</v>
      </c>
      <c r="J15" s="128">
        <v>0.41</v>
      </c>
      <c r="K15" s="128">
        <v>3.0000000000000001E-3</v>
      </c>
      <c r="L15" s="127">
        <v>0.59</v>
      </c>
      <c r="M15" s="121">
        <v>6.65</v>
      </c>
    </row>
    <row r="16" spans="1:13" ht="17" customHeight="1" x14ac:dyDescent="0.2">
      <c r="A16" s="132">
        <v>42259</v>
      </c>
      <c r="B16" s="131">
        <v>190</v>
      </c>
      <c r="C16" s="131">
        <v>10</v>
      </c>
      <c r="D16" s="133">
        <v>10</v>
      </c>
      <c r="E16" s="130">
        <v>607.85</v>
      </c>
      <c r="F16" s="130">
        <v>51</v>
      </c>
      <c r="G16" s="130">
        <v>409</v>
      </c>
      <c r="H16" s="129">
        <f>SUM(E16,G16)</f>
        <v>1016.85</v>
      </c>
      <c r="I16" s="129">
        <f t="shared" si="0"/>
        <v>1016.85</v>
      </c>
      <c r="J16" s="128">
        <v>0.6</v>
      </c>
      <c r="K16" s="128">
        <v>0.05</v>
      </c>
      <c r="L16" s="127">
        <v>0.35</v>
      </c>
      <c r="M16" s="121">
        <v>5.35</v>
      </c>
    </row>
    <row r="17" spans="1:13" ht="17" customHeight="1" x14ac:dyDescent="0.2">
      <c r="A17" s="132">
        <v>42266</v>
      </c>
      <c r="B17" s="131">
        <v>166</v>
      </c>
      <c r="C17" s="131">
        <v>10</v>
      </c>
      <c r="D17" s="131">
        <v>8</v>
      </c>
      <c r="E17" s="130">
        <v>473.68</v>
      </c>
      <c r="F17" s="130">
        <v>24</v>
      </c>
      <c r="G17" s="130">
        <v>333</v>
      </c>
      <c r="H17" s="129">
        <v>806.68</v>
      </c>
      <c r="I17" s="129">
        <f t="shared" si="0"/>
        <v>806.68000000000006</v>
      </c>
      <c r="J17" s="128">
        <v>0.59</v>
      </c>
      <c r="K17" s="128">
        <v>0.03</v>
      </c>
      <c r="L17" s="127">
        <v>0.38</v>
      </c>
      <c r="M17" s="121">
        <v>4.8600000000000003</v>
      </c>
    </row>
    <row r="18" spans="1:13" ht="17" customHeight="1" thickBot="1" x14ac:dyDescent="0.25">
      <c r="A18" s="132">
        <v>42273</v>
      </c>
      <c r="B18" s="131">
        <v>137</v>
      </c>
      <c r="C18" s="131">
        <v>11</v>
      </c>
      <c r="D18" s="131">
        <v>8</v>
      </c>
      <c r="E18" s="130">
        <v>278.5</v>
      </c>
      <c r="F18" s="130">
        <v>16</v>
      </c>
      <c r="G18" s="130">
        <v>663</v>
      </c>
      <c r="H18" s="129">
        <v>941.5</v>
      </c>
      <c r="I18" s="129">
        <f t="shared" si="0"/>
        <v>941.5</v>
      </c>
      <c r="J18" s="128">
        <v>0.3</v>
      </c>
      <c r="K18" s="128">
        <v>0.02</v>
      </c>
      <c r="L18" s="127">
        <v>0.68</v>
      </c>
      <c r="M18" s="121">
        <v>6.87</v>
      </c>
    </row>
    <row r="19" spans="1:13" ht="15.75" customHeight="1" thickBot="1" x14ac:dyDescent="0.25">
      <c r="A19" s="120"/>
      <c r="B19" s="120"/>
      <c r="C19" s="126"/>
      <c r="D19" s="125" t="s">
        <v>62</v>
      </c>
      <c r="E19" s="124">
        <f>SUM(E2:E18)</f>
        <v>7536.630000000001</v>
      </c>
      <c r="F19" s="124">
        <f>SUM(F2:F18)</f>
        <v>252</v>
      </c>
      <c r="G19" s="124">
        <f>SUM(G2:G18)</f>
        <v>12520.75</v>
      </c>
      <c r="H19" s="124">
        <f>SUM(E19:G19)</f>
        <v>20309.38</v>
      </c>
      <c r="I19" s="129">
        <f t="shared" si="0"/>
        <v>20057.38</v>
      </c>
      <c r="J19" s="123">
        <v>0.37</v>
      </c>
      <c r="K19" s="123">
        <v>1.2E-2</v>
      </c>
      <c r="L19" s="122">
        <v>0.62</v>
      </c>
      <c r="M19" s="121">
        <f>AVERAGE(M2:M18)</f>
        <v>5.7917647058823523</v>
      </c>
    </row>
    <row r="20" spans="1:13" ht="17.5" customHeight="1" x14ac:dyDescent="0.2">
      <c r="A20" s="119"/>
      <c r="B20" s="119"/>
      <c r="C20" s="119"/>
      <c r="D20" s="120"/>
      <c r="E20" s="120"/>
      <c r="F20" s="120"/>
      <c r="G20" s="120"/>
      <c r="H20" s="219">
        <f>SUM(H2:H18)</f>
        <v>20071.380000000005</v>
      </c>
      <c r="I20" s="120"/>
      <c r="J20" s="120"/>
      <c r="K20" s="120"/>
      <c r="L20" s="120"/>
      <c r="M20" s="119"/>
    </row>
    <row r="21" spans="1:13" ht="17" customHeight="1" x14ac:dyDescent="0.2">
      <c r="A21" s="144" t="s">
        <v>61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</row>
  </sheetData>
  <pageMargins left="0.75" right="0.75" top="1" bottom="1" header="0.5" footer="0.5"/>
  <pageSetup orientation="landscape"/>
  <headerFooter>
    <oddHeader>&amp;C&amp;"Calibri,Bold"&amp;11&amp;K000000CLATSKANIE FARMERS MARKET 
2015 MARKET STATISTICS</oddHeader>
    <oddFooter>&amp;L&amp;"Helvetica,Regular"&amp;12&amp;K000000&amp;P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1B008-12B0-CD45-8EB2-5A5081A7A236}">
  <dimension ref="A1:JI85"/>
  <sheetViews>
    <sheetView workbookViewId="0">
      <pane ySplit="1" topLeftCell="A2" activePane="bottomLeft" state="frozen"/>
      <selection pane="bottomLeft" activeCell="AB10" sqref="A1:AB10"/>
    </sheetView>
  </sheetViews>
  <sheetFormatPr baseColWidth="10" defaultColWidth="10.625" defaultRowHeight="15" x14ac:dyDescent="0.2"/>
  <cols>
    <col min="1" max="1" width="13.375" style="223" customWidth="1"/>
    <col min="2" max="2" width="13.375" style="173" customWidth="1"/>
    <col min="3" max="18" width="10.625" style="146"/>
    <col min="19" max="21" width="10.625" style="220"/>
    <col min="22" max="26" width="10.625" style="146"/>
    <col min="27" max="27" width="19.875" style="146" customWidth="1"/>
    <col min="28" max="16384" width="10.625" style="146"/>
  </cols>
  <sheetData>
    <row r="1" spans="1:269" ht="32" x14ac:dyDescent="0.2">
      <c r="A1" s="221" t="s">
        <v>0</v>
      </c>
      <c r="B1" s="161" t="s">
        <v>80</v>
      </c>
      <c r="C1" s="148" t="s">
        <v>28</v>
      </c>
      <c r="D1" s="149" t="s">
        <v>1</v>
      </c>
      <c r="E1" s="149" t="s">
        <v>2</v>
      </c>
      <c r="F1" s="149" t="s">
        <v>3</v>
      </c>
      <c r="G1" s="149" t="s">
        <v>68</v>
      </c>
      <c r="H1" s="149" t="s">
        <v>50</v>
      </c>
      <c r="I1" s="149" t="s">
        <v>67</v>
      </c>
      <c r="J1" s="150" t="s">
        <v>4</v>
      </c>
      <c r="K1" s="150" t="s">
        <v>5</v>
      </c>
      <c r="L1" s="149" t="s">
        <v>66</v>
      </c>
      <c r="M1" s="150" t="s">
        <v>6</v>
      </c>
      <c r="N1" s="149" t="s">
        <v>7</v>
      </c>
      <c r="O1" s="149" t="s">
        <v>49</v>
      </c>
      <c r="P1" s="149" t="s">
        <v>8</v>
      </c>
      <c r="Q1" s="149" t="s">
        <v>65</v>
      </c>
      <c r="R1" s="151" t="s">
        <v>9</v>
      </c>
      <c r="S1" s="152" t="s">
        <v>10</v>
      </c>
      <c r="T1" s="152" t="s">
        <v>11</v>
      </c>
      <c r="U1" s="152" t="s">
        <v>12</v>
      </c>
      <c r="V1" s="149" t="s">
        <v>14</v>
      </c>
      <c r="W1" s="149" t="s">
        <v>15</v>
      </c>
      <c r="X1" s="149" t="s">
        <v>53</v>
      </c>
      <c r="Y1" s="153" t="s">
        <v>74</v>
      </c>
      <c r="Z1" s="153" t="s">
        <v>75</v>
      </c>
      <c r="AA1" s="153" t="s">
        <v>16</v>
      </c>
      <c r="AB1" s="146" t="s">
        <v>109</v>
      </c>
    </row>
    <row r="2" spans="1:269" ht="16" x14ac:dyDescent="0.2">
      <c r="A2" s="222">
        <v>43309</v>
      </c>
      <c r="B2" s="159">
        <v>2018</v>
      </c>
      <c r="C2" s="146" t="s">
        <v>30</v>
      </c>
      <c r="D2" s="154">
        <v>396</v>
      </c>
      <c r="E2" s="159">
        <v>17</v>
      </c>
      <c r="G2" s="154">
        <v>17</v>
      </c>
      <c r="J2" s="157">
        <v>450</v>
      </c>
      <c r="K2" s="157">
        <v>2241.1999999999998</v>
      </c>
      <c r="M2" s="157">
        <v>0</v>
      </c>
      <c r="N2" s="157">
        <v>48</v>
      </c>
      <c r="O2" s="157">
        <v>68</v>
      </c>
      <c r="P2" s="157">
        <v>289</v>
      </c>
      <c r="R2" s="162">
        <f>SUM(J2:P2)</f>
        <v>3096.2</v>
      </c>
      <c r="S2" s="51">
        <f t="shared" ref="S2:S7" si="0">SUM(J2+K2+M2+N2+O2)/R2</f>
        <v>0.90665977650022611</v>
      </c>
      <c r="T2" s="51">
        <f>SUM(M2+N2)/R2</f>
        <v>1.5502874491311932E-2</v>
      </c>
      <c r="U2" s="51">
        <f>P2/R2</f>
        <v>9.3340223499773917E-2</v>
      </c>
      <c r="V2" s="147"/>
      <c r="Y2" s="157">
        <f t="shared" ref="Y2:Y33" si="1">R2/D2</f>
        <v>7.8186868686868678</v>
      </c>
      <c r="Z2" s="158">
        <f t="shared" ref="Z2:Z33" si="2">R2/E2</f>
        <v>182.12941176470588</v>
      </c>
      <c r="AA2" s="147" t="s">
        <v>40</v>
      </c>
      <c r="AB2" s="146" t="s">
        <v>110</v>
      </c>
    </row>
    <row r="3" spans="1:269" ht="16" x14ac:dyDescent="0.2">
      <c r="A3" s="222">
        <v>43330</v>
      </c>
      <c r="B3" s="159">
        <v>2018</v>
      </c>
      <c r="C3" s="146" t="s">
        <v>31</v>
      </c>
      <c r="D3" s="159">
        <v>440</v>
      </c>
      <c r="E3" s="159">
        <v>20</v>
      </c>
      <c r="G3" s="159">
        <v>20</v>
      </c>
      <c r="J3" s="157">
        <v>597</v>
      </c>
      <c r="K3" s="157">
        <v>4297.72</v>
      </c>
      <c r="M3" s="157">
        <v>0</v>
      </c>
      <c r="N3" s="157">
        <v>64</v>
      </c>
      <c r="O3" s="157">
        <v>48</v>
      </c>
      <c r="P3" s="157">
        <v>747.5</v>
      </c>
      <c r="R3" s="162">
        <f>SUM(J3:P3)</f>
        <v>5754.22</v>
      </c>
      <c r="S3" s="51">
        <f t="shared" si="0"/>
        <v>0.87009533872531808</v>
      </c>
      <c r="T3" s="51">
        <f>SUM(M3+N3)/R3</f>
        <v>1.112227200211323E-2</v>
      </c>
      <c r="U3" s="51">
        <f>P3/R3</f>
        <v>0.12990466127468189</v>
      </c>
      <c r="V3" s="147"/>
      <c r="Y3" s="157">
        <f t="shared" si="1"/>
        <v>13.077772727272729</v>
      </c>
      <c r="Z3" s="158">
        <f t="shared" si="2"/>
        <v>287.71100000000001</v>
      </c>
      <c r="AA3" s="147" t="s">
        <v>38</v>
      </c>
      <c r="AB3" s="146" t="s">
        <v>110</v>
      </c>
    </row>
    <row r="4" spans="1:269" ht="16" x14ac:dyDescent="0.2">
      <c r="A4" s="222">
        <v>43372</v>
      </c>
      <c r="B4" s="159">
        <v>2018</v>
      </c>
      <c r="C4" s="146" t="s">
        <v>32</v>
      </c>
      <c r="D4" s="159">
        <v>195</v>
      </c>
      <c r="E4" s="159">
        <v>10</v>
      </c>
      <c r="G4" s="159">
        <v>10</v>
      </c>
      <c r="J4" s="157">
        <v>454</v>
      </c>
      <c r="K4" s="157">
        <v>1258.22</v>
      </c>
      <c r="M4" s="157">
        <v>0</v>
      </c>
      <c r="N4" s="157">
        <v>28</v>
      </c>
      <c r="O4" s="157">
        <v>12</v>
      </c>
      <c r="P4" s="157">
        <v>476</v>
      </c>
      <c r="R4" s="162">
        <f>SUM(J4:P4)</f>
        <v>2228.2200000000003</v>
      </c>
      <c r="S4" s="51">
        <f t="shared" si="0"/>
        <v>0.78637656963854552</v>
      </c>
      <c r="T4" s="51">
        <f>SUM(M4+N4)/R4</f>
        <v>1.2566084138909082E-2</v>
      </c>
      <c r="U4" s="51">
        <f>P4/R4</f>
        <v>0.2136234303614544</v>
      </c>
      <c r="V4" s="147"/>
      <c r="Y4" s="157">
        <f t="shared" si="1"/>
        <v>11.426769230769231</v>
      </c>
      <c r="Z4" s="158">
        <f t="shared" si="2"/>
        <v>222.82200000000003</v>
      </c>
      <c r="AA4" s="147" t="s">
        <v>34</v>
      </c>
      <c r="AB4" s="146" t="s">
        <v>110</v>
      </c>
    </row>
    <row r="5" spans="1:269" ht="16" x14ac:dyDescent="0.2">
      <c r="A5" s="222">
        <v>43673</v>
      </c>
      <c r="B5" s="159">
        <v>2019</v>
      </c>
      <c r="C5" s="145" t="s">
        <v>30</v>
      </c>
      <c r="D5" s="154">
        <v>303</v>
      </c>
      <c r="E5" s="159">
        <v>18</v>
      </c>
      <c r="H5" s="157">
        <v>51</v>
      </c>
      <c r="I5" s="157"/>
      <c r="J5" s="157">
        <v>709</v>
      </c>
      <c r="K5" s="157">
        <v>2344</v>
      </c>
      <c r="L5" s="157"/>
      <c r="M5" s="157">
        <v>0</v>
      </c>
      <c r="N5" s="157">
        <v>72</v>
      </c>
      <c r="O5" s="157">
        <v>50</v>
      </c>
      <c r="P5" s="157">
        <v>906.5</v>
      </c>
      <c r="Q5" s="157"/>
      <c r="R5" s="162">
        <v>4132.5</v>
      </c>
      <c r="S5" s="51">
        <f t="shared" si="0"/>
        <v>0.7683000604960678</v>
      </c>
      <c r="T5" s="51">
        <f>SUM(M5+N5)/R5</f>
        <v>1.7422867513611617E-2</v>
      </c>
      <c r="U5" s="51">
        <f>(H5+P5)/R5</f>
        <v>0.23169993950393225</v>
      </c>
      <c r="Y5" s="157">
        <f t="shared" si="1"/>
        <v>13.638613861386139</v>
      </c>
      <c r="Z5" s="158">
        <f t="shared" si="2"/>
        <v>229.58333333333334</v>
      </c>
      <c r="AA5" s="147" t="s">
        <v>40</v>
      </c>
      <c r="AB5" s="146" t="s">
        <v>110</v>
      </c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7"/>
      <c r="BT5" s="147"/>
      <c r="BU5" s="147"/>
      <c r="BV5" s="147"/>
      <c r="BW5" s="147"/>
      <c r="BX5" s="147"/>
      <c r="BY5" s="147"/>
      <c r="BZ5" s="147"/>
      <c r="CA5" s="147"/>
      <c r="CB5" s="147"/>
      <c r="CC5" s="147"/>
      <c r="CD5" s="147"/>
      <c r="CE5" s="147"/>
      <c r="CF5" s="147"/>
      <c r="CG5" s="147"/>
      <c r="CH5" s="147"/>
      <c r="CI5" s="147"/>
      <c r="CJ5" s="147"/>
      <c r="CK5" s="147"/>
      <c r="CL5" s="147"/>
      <c r="CM5" s="147"/>
      <c r="CN5" s="147"/>
      <c r="CO5" s="147"/>
      <c r="CP5" s="147"/>
      <c r="CQ5" s="147"/>
      <c r="CR5" s="147"/>
      <c r="CS5" s="147"/>
      <c r="CT5" s="147"/>
      <c r="CU5" s="147"/>
      <c r="CV5" s="147"/>
      <c r="CW5" s="147"/>
      <c r="CX5" s="147"/>
      <c r="CY5" s="147"/>
      <c r="CZ5" s="147"/>
      <c r="DA5" s="147"/>
      <c r="DB5" s="147"/>
      <c r="DC5" s="147"/>
      <c r="DD5" s="147"/>
      <c r="DE5" s="147"/>
      <c r="DF5" s="147"/>
      <c r="DG5" s="147"/>
      <c r="DH5" s="147"/>
      <c r="DI5" s="147"/>
      <c r="DJ5" s="147"/>
      <c r="DK5" s="147"/>
      <c r="DL5" s="147"/>
      <c r="DM5" s="147"/>
      <c r="DN5" s="147"/>
      <c r="DO5" s="147"/>
      <c r="DP5" s="147"/>
      <c r="DQ5" s="147"/>
      <c r="DR5" s="147"/>
      <c r="DS5" s="147"/>
      <c r="DT5" s="147"/>
      <c r="DU5" s="147"/>
      <c r="DV5" s="147"/>
      <c r="DW5" s="147"/>
      <c r="DX5" s="147"/>
      <c r="DY5" s="147"/>
      <c r="DZ5" s="147"/>
      <c r="EA5" s="147"/>
      <c r="EB5" s="147"/>
      <c r="EC5" s="147"/>
      <c r="ED5" s="147"/>
      <c r="EE5" s="147"/>
      <c r="EF5" s="147"/>
      <c r="EG5" s="147"/>
      <c r="EH5" s="147"/>
      <c r="EI5" s="147"/>
      <c r="EJ5" s="147"/>
      <c r="EK5" s="147"/>
      <c r="EL5" s="147"/>
      <c r="EM5" s="147"/>
      <c r="EN5" s="147"/>
      <c r="EO5" s="147"/>
      <c r="EP5" s="147"/>
      <c r="EQ5" s="147"/>
      <c r="ER5" s="147"/>
      <c r="ES5" s="147"/>
      <c r="ET5" s="147"/>
      <c r="EU5" s="147"/>
      <c r="EV5" s="147"/>
      <c r="EW5" s="147"/>
      <c r="EX5" s="147"/>
      <c r="EY5" s="147"/>
      <c r="EZ5" s="147"/>
      <c r="FA5" s="147"/>
      <c r="FB5" s="147"/>
      <c r="FC5" s="147"/>
      <c r="FD5" s="147"/>
      <c r="FE5" s="147"/>
      <c r="FF5" s="147"/>
      <c r="FG5" s="147"/>
      <c r="FH5" s="147"/>
      <c r="FI5" s="147"/>
      <c r="FJ5" s="147"/>
      <c r="FK5" s="147"/>
      <c r="FL5" s="147"/>
      <c r="FM5" s="147"/>
      <c r="FN5" s="147"/>
      <c r="FO5" s="147"/>
      <c r="FP5" s="147"/>
      <c r="FQ5" s="147"/>
      <c r="FR5" s="147"/>
      <c r="FS5" s="147"/>
      <c r="FT5" s="147"/>
      <c r="FU5" s="147"/>
      <c r="FV5" s="147"/>
      <c r="FW5" s="147"/>
      <c r="FX5" s="147"/>
      <c r="FY5" s="147"/>
      <c r="FZ5" s="147"/>
      <c r="GA5" s="147"/>
      <c r="GB5" s="147"/>
      <c r="GC5" s="147"/>
      <c r="GD5" s="147"/>
      <c r="GE5" s="147"/>
      <c r="GF5" s="147"/>
      <c r="GG5" s="147"/>
      <c r="GH5" s="147"/>
      <c r="GI5" s="147"/>
      <c r="GJ5" s="147"/>
      <c r="GK5" s="147"/>
      <c r="GL5" s="147"/>
      <c r="GM5" s="147"/>
      <c r="GN5" s="147"/>
      <c r="GO5" s="147"/>
      <c r="GP5" s="147"/>
      <c r="GQ5" s="147"/>
      <c r="GR5" s="147"/>
      <c r="GS5" s="147"/>
      <c r="GT5" s="147"/>
      <c r="GU5" s="147"/>
      <c r="GV5" s="147"/>
      <c r="GW5" s="147"/>
      <c r="GX5" s="147"/>
      <c r="GY5" s="147"/>
      <c r="GZ5" s="147"/>
      <c r="HA5" s="147"/>
      <c r="HB5" s="147"/>
      <c r="HC5" s="147"/>
      <c r="HD5" s="147"/>
      <c r="HE5" s="147"/>
      <c r="HF5" s="147"/>
      <c r="HG5" s="147"/>
      <c r="HH5" s="147"/>
      <c r="HI5" s="147"/>
      <c r="HJ5" s="147"/>
      <c r="HK5" s="147"/>
      <c r="HL5" s="147"/>
      <c r="HM5" s="147"/>
      <c r="HN5" s="147"/>
      <c r="HO5" s="147"/>
      <c r="HP5" s="147"/>
      <c r="HQ5" s="147"/>
      <c r="HR5" s="147"/>
      <c r="HS5" s="147"/>
      <c r="HT5" s="147"/>
      <c r="HU5" s="147"/>
      <c r="HV5" s="147"/>
      <c r="HW5" s="147"/>
      <c r="HX5" s="147"/>
      <c r="HY5" s="147"/>
      <c r="HZ5" s="147"/>
      <c r="IA5" s="147"/>
      <c r="IB5" s="147"/>
      <c r="IC5" s="147"/>
      <c r="ID5" s="147"/>
      <c r="IE5" s="147"/>
      <c r="IF5" s="147"/>
      <c r="IG5" s="147"/>
      <c r="IH5" s="147"/>
      <c r="II5" s="147"/>
      <c r="IJ5" s="147"/>
      <c r="IK5" s="147"/>
      <c r="IL5" s="147"/>
      <c r="IM5" s="147"/>
      <c r="IN5" s="147"/>
      <c r="IO5" s="147"/>
      <c r="IP5" s="147"/>
      <c r="IQ5" s="147"/>
      <c r="IR5" s="147"/>
      <c r="IS5" s="147"/>
      <c r="IT5" s="147"/>
      <c r="IU5" s="147"/>
      <c r="IV5" s="147"/>
      <c r="IW5" s="147"/>
      <c r="IX5" s="147"/>
      <c r="IY5" s="147"/>
      <c r="IZ5" s="147"/>
      <c r="JA5" s="147"/>
      <c r="JB5" s="147"/>
      <c r="JC5" s="147"/>
      <c r="JD5" s="147"/>
      <c r="JE5" s="147"/>
      <c r="JF5" s="147"/>
      <c r="JG5" s="147"/>
      <c r="JH5" s="147"/>
      <c r="JI5" s="147"/>
    </row>
    <row r="6" spans="1:269" ht="16" x14ac:dyDescent="0.2">
      <c r="A6" s="222">
        <v>43694</v>
      </c>
      <c r="B6" s="159">
        <v>2019</v>
      </c>
      <c r="C6" s="146" t="s">
        <v>31</v>
      </c>
      <c r="D6" s="159">
        <v>397</v>
      </c>
      <c r="E6" s="159">
        <v>18</v>
      </c>
      <c r="H6" s="157">
        <v>0</v>
      </c>
      <c r="I6" s="157"/>
      <c r="J6" s="157">
        <v>635</v>
      </c>
      <c r="K6" s="157">
        <v>5230.3500000000004</v>
      </c>
      <c r="L6" s="157"/>
      <c r="M6" s="157">
        <v>0</v>
      </c>
      <c r="N6" s="157">
        <v>116</v>
      </c>
      <c r="O6" s="157">
        <v>22</v>
      </c>
      <c r="P6" s="157">
        <v>980</v>
      </c>
      <c r="Q6" s="157"/>
      <c r="R6" s="162">
        <v>6983.35</v>
      </c>
      <c r="S6" s="51">
        <f t="shared" si="0"/>
        <v>0.85966620604724098</v>
      </c>
      <c r="T6" s="51">
        <f>SUM(M6+N6)/R6</f>
        <v>1.6610938876040867E-2</v>
      </c>
      <c r="U6" s="51">
        <f>P6/R6</f>
        <v>0.14033379395275905</v>
      </c>
      <c r="Y6" s="157">
        <f t="shared" si="1"/>
        <v>17.590302267002521</v>
      </c>
      <c r="Z6" s="158">
        <f t="shared" si="2"/>
        <v>387.9638888888889</v>
      </c>
      <c r="AA6" s="147" t="s">
        <v>38</v>
      </c>
      <c r="AB6" s="146" t="s">
        <v>110</v>
      </c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J6" s="147"/>
      <c r="DK6" s="147"/>
      <c r="DL6" s="147"/>
      <c r="DM6" s="147"/>
      <c r="DN6" s="147"/>
      <c r="DO6" s="147"/>
      <c r="DP6" s="147"/>
      <c r="DQ6" s="147"/>
      <c r="DR6" s="147"/>
      <c r="DS6" s="147"/>
      <c r="DT6" s="147"/>
      <c r="DU6" s="147"/>
      <c r="DV6" s="147"/>
      <c r="DW6" s="147"/>
      <c r="DX6" s="147"/>
      <c r="DY6" s="147"/>
      <c r="DZ6" s="147"/>
      <c r="EA6" s="147"/>
      <c r="EB6" s="147"/>
      <c r="EC6" s="147"/>
      <c r="ED6" s="147"/>
      <c r="EE6" s="147"/>
      <c r="EF6" s="147"/>
      <c r="EG6" s="147"/>
      <c r="EH6" s="147"/>
      <c r="EI6" s="147"/>
      <c r="EJ6" s="147"/>
      <c r="EK6" s="147"/>
      <c r="EL6" s="147"/>
      <c r="EM6" s="147"/>
      <c r="EN6" s="147"/>
      <c r="EO6" s="147"/>
      <c r="EP6" s="147"/>
      <c r="EQ6" s="147"/>
      <c r="ER6" s="147"/>
      <c r="ES6" s="147"/>
      <c r="ET6" s="147"/>
      <c r="EU6" s="147"/>
      <c r="EV6" s="147"/>
      <c r="EW6" s="147"/>
      <c r="EX6" s="147"/>
      <c r="EY6" s="147"/>
      <c r="EZ6" s="147"/>
      <c r="FA6" s="147"/>
      <c r="FB6" s="147"/>
      <c r="FC6" s="147"/>
      <c r="FD6" s="147"/>
      <c r="FE6" s="147"/>
      <c r="FF6" s="147"/>
      <c r="FG6" s="147"/>
      <c r="FH6" s="147"/>
      <c r="FI6" s="147"/>
      <c r="FJ6" s="147"/>
      <c r="FK6" s="147"/>
      <c r="FL6" s="147"/>
      <c r="FM6" s="147"/>
      <c r="FN6" s="147"/>
      <c r="FO6" s="147"/>
      <c r="FP6" s="147"/>
      <c r="FQ6" s="147"/>
      <c r="FR6" s="147"/>
      <c r="FS6" s="147"/>
      <c r="FT6" s="147"/>
      <c r="FU6" s="147"/>
      <c r="FV6" s="147"/>
      <c r="FW6" s="147"/>
      <c r="FX6" s="147"/>
      <c r="FY6" s="147"/>
      <c r="FZ6" s="147"/>
      <c r="GA6" s="147"/>
      <c r="GB6" s="147"/>
      <c r="GC6" s="147"/>
      <c r="GD6" s="147"/>
      <c r="GE6" s="147"/>
      <c r="GF6" s="147"/>
      <c r="GG6" s="147"/>
      <c r="GH6" s="147"/>
      <c r="GI6" s="147"/>
      <c r="GJ6" s="147"/>
      <c r="GK6" s="147"/>
      <c r="GL6" s="147"/>
      <c r="GM6" s="147"/>
      <c r="GN6" s="147"/>
      <c r="GO6" s="147"/>
      <c r="GP6" s="147"/>
      <c r="GQ6" s="147"/>
      <c r="GR6" s="147"/>
      <c r="GS6" s="147"/>
      <c r="GT6" s="147"/>
      <c r="GU6" s="147"/>
      <c r="GV6" s="147"/>
      <c r="GW6" s="147"/>
      <c r="GX6" s="147"/>
      <c r="GY6" s="147"/>
      <c r="GZ6" s="147"/>
      <c r="HA6" s="147"/>
      <c r="HB6" s="147"/>
      <c r="HC6" s="147"/>
      <c r="HD6" s="147"/>
      <c r="HE6" s="147"/>
      <c r="HF6" s="147"/>
      <c r="HG6" s="147"/>
      <c r="HH6" s="147"/>
      <c r="HI6" s="147"/>
      <c r="HJ6" s="147"/>
      <c r="HK6" s="147"/>
      <c r="HL6" s="147"/>
      <c r="HM6" s="147"/>
      <c r="HN6" s="147"/>
      <c r="HO6" s="147"/>
      <c r="HP6" s="147"/>
      <c r="HQ6" s="147"/>
      <c r="HR6" s="147"/>
      <c r="HS6" s="147"/>
      <c r="HT6" s="147"/>
      <c r="HU6" s="147"/>
      <c r="HV6" s="147"/>
      <c r="HW6" s="147"/>
      <c r="HX6" s="147"/>
      <c r="HY6" s="147"/>
      <c r="HZ6" s="147"/>
      <c r="IA6" s="147"/>
      <c r="IB6" s="147"/>
      <c r="IC6" s="147"/>
      <c r="ID6" s="147"/>
      <c r="IE6" s="147"/>
      <c r="IF6" s="147"/>
      <c r="IG6" s="147"/>
      <c r="IH6" s="147"/>
      <c r="II6" s="147"/>
      <c r="IJ6" s="147"/>
      <c r="IK6" s="147"/>
      <c r="IL6" s="147"/>
      <c r="IM6" s="147"/>
      <c r="IN6" s="147"/>
      <c r="IO6" s="147"/>
      <c r="IP6" s="147"/>
      <c r="IQ6" s="147"/>
      <c r="IR6" s="147"/>
      <c r="IS6" s="147"/>
      <c r="IT6" s="147"/>
      <c r="IU6" s="147"/>
      <c r="IV6" s="147"/>
      <c r="IW6" s="147"/>
      <c r="IX6" s="147"/>
      <c r="IY6" s="147"/>
      <c r="IZ6" s="147"/>
      <c r="JA6" s="147"/>
      <c r="JB6" s="147"/>
      <c r="JC6" s="147"/>
      <c r="JD6" s="147"/>
      <c r="JE6" s="147"/>
      <c r="JF6" s="147"/>
      <c r="JG6" s="147"/>
      <c r="JH6" s="147"/>
      <c r="JI6" s="147"/>
    </row>
    <row r="7" spans="1:269" ht="16" x14ac:dyDescent="0.2">
      <c r="A7" s="222">
        <v>43736</v>
      </c>
      <c r="B7" s="159">
        <v>2019</v>
      </c>
      <c r="C7" s="145" t="s">
        <v>32</v>
      </c>
      <c r="D7" s="159">
        <v>224</v>
      </c>
      <c r="E7" s="159">
        <v>12</v>
      </c>
      <c r="H7" s="167">
        <v>28</v>
      </c>
      <c r="I7" s="167"/>
      <c r="J7" s="157">
        <v>470</v>
      </c>
      <c r="K7" s="157">
        <v>1282.5</v>
      </c>
      <c r="L7" s="157"/>
      <c r="M7" s="157">
        <v>0</v>
      </c>
      <c r="N7" s="157">
        <v>84</v>
      </c>
      <c r="O7" s="157">
        <v>36</v>
      </c>
      <c r="P7" s="157">
        <v>317</v>
      </c>
      <c r="Q7" s="157"/>
      <c r="R7" s="162">
        <v>2217.5</v>
      </c>
      <c r="S7" s="51">
        <f t="shared" si="0"/>
        <v>0.84441939120631337</v>
      </c>
      <c r="T7" s="51">
        <f>(M7+N7)/R7</f>
        <v>3.7880496054114997E-2</v>
      </c>
      <c r="U7" s="51">
        <f>(H7+P7)/R7</f>
        <v>0.1555806087936866</v>
      </c>
      <c r="Y7" s="157">
        <f t="shared" si="1"/>
        <v>9.8995535714285712</v>
      </c>
      <c r="Z7" s="158">
        <f t="shared" si="2"/>
        <v>184.79166666666666</v>
      </c>
      <c r="AA7" s="147" t="s">
        <v>34</v>
      </c>
      <c r="AB7" s="146" t="s">
        <v>110</v>
      </c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/>
      <c r="BL7" s="147"/>
      <c r="BM7" s="147"/>
      <c r="BN7" s="147"/>
      <c r="BO7" s="147"/>
      <c r="BP7" s="147"/>
      <c r="BQ7" s="147"/>
      <c r="BR7" s="147"/>
      <c r="BS7" s="147"/>
      <c r="BT7" s="147"/>
      <c r="BU7" s="147"/>
      <c r="BV7" s="147"/>
      <c r="BW7" s="147"/>
      <c r="BX7" s="147"/>
      <c r="BY7" s="147"/>
      <c r="BZ7" s="147"/>
      <c r="CA7" s="147"/>
      <c r="CB7" s="147"/>
      <c r="CC7" s="147"/>
      <c r="CD7" s="147"/>
      <c r="CE7" s="147"/>
      <c r="CF7" s="147"/>
      <c r="CG7" s="147"/>
      <c r="CH7" s="147"/>
      <c r="CI7" s="147"/>
      <c r="CJ7" s="147"/>
      <c r="CK7" s="147"/>
      <c r="CL7" s="147"/>
      <c r="CM7" s="147"/>
      <c r="CN7" s="147"/>
      <c r="CO7" s="147"/>
      <c r="CP7" s="147"/>
      <c r="CQ7" s="147"/>
      <c r="CR7" s="147"/>
      <c r="CS7" s="147"/>
      <c r="CT7" s="147"/>
      <c r="CU7" s="147"/>
      <c r="CV7" s="147"/>
      <c r="CW7" s="147"/>
      <c r="CX7" s="147"/>
      <c r="CY7" s="147"/>
      <c r="CZ7" s="147"/>
      <c r="DA7" s="147"/>
      <c r="DB7" s="147"/>
      <c r="DC7" s="147"/>
      <c r="DD7" s="147"/>
      <c r="DE7" s="147"/>
      <c r="DF7" s="147"/>
      <c r="DG7" s="147"/>
      <c r="DH7" s="147"/>
      <c r="DI7" s="147"/>
      <c r="DJ7" s="147"/>
      <c r="DK7" s="147"/>
      <c r="DL7" s="147"/>
      <c r="DM7" s="147"/>
      <c r="DN7" s="147"/>
      <c r="DO7" s="147"/>
      <c r="DP7" s="147"/>
      <c r="DQ7" s="147"/>
      <c r="DR7" s="147"/>
      <c r="DS7" s="147"/>
      <c r="DT7" s="147"/>
      <c r="DU7" s="147"/>
      <c r="DV7" s="147"/>
      <c r="DW7" s="147"/>
      <c r="DX7" s="147"/>
      <c r="DY7" s="147"/>
      <c r="DZ7" s="147"/>
      <c r="EA7" s="147"/>
      <c r="EB7" s="147"/>
      <c r="EC7" s="147"/>
      <c r="ED7" s="147"/>
      <c r="EE7" s="147"/>
      <c r="EF7" s="147"/>
      <c r="EG7" s="147"/>
      <c r="EH7" s="147"/>
      <c r="EI7" s="147"/>
      <c r="EJ7" s="147"/>
      <c r="EK7" s="147"/>
      <c r="EL7" s="147"/>
      <c r="EM7" s="147"/>
      <c r="EN7" s="147"/>
      <c r="EO7" s="147"/>
      <c r="EP7" s="147"/>
      <c r="EQ7" s="147"/>
      <c r="ER7" s="147"/>
      <c r="ES7" s="147"/>
      <c r="ET7" s="147"/>
      <c r="EU7" s="147"/>
      <c r="EV7" s="147"/>
      <c r="EW7" s="147"/>
      <c r="EX7" s="147"/>
      <c r="EY7" s="147"/>
      <c r="EZ7" s="147"/>
      <c r="FA7" s="147"/>
      <c r="FB7" s="147"/>
      <c r="FC7" s="147"/>
      <c r="FD7" s="147"/>
      <c r="FE7" s="147"/>
      <c r="FF7" s="147"/>
      <c r="FG7" s="147"/>
      <c r="FH7" s="147"/>
      <c r="FI7" s="147"/>
      <c r="FJ7" s="147"/>
      <c r="FK7" s="147"/>
      <c r="FL7" s="147"/>
      <c r="FM7" s="147"/>
      <c r="FN7" s="147"/>
      <c r="FO7" s="147"/>
      <c r="FP7" s="147"/>
      <c r="FQ7" s="147"/>
      <c r="FR7" s="147"/>
      <c r="FS7" s="147"/>
      <c r="FT7" s="147"/>
      <c r="FU7" s="147"/>
      <c r="FV7" s="147"/>
      <c r="FW7" s="147"/>
      <c r="FX7" s="147"/>
      <c r="FY7" s="147"/>
      <c r="FZ7" s="147"/>
      <c r="GA7" s="147"/>
      <c r="GB7" s="147"/>
      <c r="GC7" s="147"/>
      <c r="GD7" s="147"/>
      <c r="GE7" s="147"/>
      <c r="GF7" s="147"/>
      <c r="GG7" s="147"/>
      <c r="GH7" s="147"/>
      <c r="GI7" s="147"/>
      <c r="GJ7" s="147"/>
      <c r="GK7" s="147"/>
      <c r="GL7" s="147"/>
      <c r="GM7" s="147"/>
      <c r="GN7" s="147"/>
      <c r="GO7" s="147"/>
      <c r="GP7" s="147"/>
      <c r="GQ7" s="147"/>
      <c r="GR7" s="147"/>
      <c r="GS7" s="147"/>
      <c r="GT7" s="147"/>
      <c r="GU7" s="147"/>
      <c r="GV7" s="147"/>
      <c r="GW7" s="147"/>
      <c r="GX7" s="147"/>
      <c r="GY7" s="147"/>
      <c r="GZ7" s="147"/>
      <c r="HA7" s="147"/>
      <c r="HB7" s="147"/>
      <c r="HC7" s="147"/>
      <c r="HD7" s="147"/>
      <c r="HE7" s="147"/>
      <c r="HF7" s="147"/>
      <c r="HG7" s="147"/>
      <c r="HH7" s="147"/>
      <c r="HI7" s="147"/>
      <c r="HJ7" s="147"/>
      <c r="HK7" s="147"/>
      <c r="HL7" s="147"/>
      <c r="HM7" s="147"/>
      <c r="HN7" s="147"/>
      <c r="HO7" s="147"/>
      <c r="HP7" s="147"/>
      <c r="HQ7" s="147"/>
      <c r="HR7" s="147"/>
      <c r="HS7" s="147"/>
      <c r="HT7" s="147"/>
      <c r="HU7" s="147"/>
      <c r="HV7" s="147"/>
      <c r="HW7" s="147"/>
      <c r="HX7" s="147"/>
      <c r="HY7" s="147"/>
      <c r="HZ7" s="147"/>
      <c r="IA7" s="147"/>
      <c r="IB7" s="147"/>
      <c r="IC7" s="147"/>
      <c r="ID7" s="147"/>
      <c r="IE7" s="147"/>
      <c r="IF7" s="147"/>
      <c r="IG7" s="147"/>
      <c r="IH7" s="147"/>
      <c r="II7" s="147"/>
      <c r="IJ7" s="147"/>
      <c r="IK7" s="147"/>
      <c r="IL7" s="147"/>
      <c r="IM7" s="147"/>
      <c r="IN7" s="147"/>
      <c r="IO7" s="147"/>
      <c r="IP7" s="147"/>
      <c r="IQ7" s="147"/>
      <c r="IR7" s="147"/>
      <c r="IS7" s="147"/>
      <c r="IT7" s="147"/>
      <c r="IU7" s="147"/>
      <c r="IV7" s="147"/>
      <c r="IW7" s="147"/>
      <c r="IX7" s="147"/>
      <c r="IY7" s="147"/>
      <c r="IZ7" s="147"/>
      <c r="JA7" s="147"/>
      <c r="JB7" s="147"/>
      <c r="JC7" s="147"/>
      <c r="JD7" s="147"/>
      <c r="JE7" s="147"/>
      <c r="JF7" s="147"/>
      <c r="JG7" s="147"/>
      <c r="JH7" s="147"/>
      <c r="JI7" s="147"/>
    </row>
    <row r="8" spans="1:269" ht="16" x14ac:dyDescent="0.2">
      <c r="A8" s="222">
        <v>44401</v>
      </c>
      <c r="B8" s="159">
        <v>2021</v>
      </c>
      <c r="C8" s="146" t="s">
        <v>30</v>
      </c>
      <c r="D8" s="163">
        <v>334</v>
      </c>
      <c r="E8" s="165">
        <v>13</v>
      </c>
      <c r="F8" s="157">
        <v>200</v>
      </c>
      <c r="G8" s="157"/>
      <c r="J8" s="157">
        <v>1100</v>
      </c>
      <c r="K8" s="157">
        <v>2343.91</v>
      </c>
      <c r="L8" s="157"/>
      <c r="M8" s="157">
        <v>0</v>
      </c>
      <c r="N8" s="157">
        <v>60</v>
      </c>
      <c r="P8" s="157">
        <v>1705.75</v>
      </c>
      <c r="Q8" s="157"/>
      <c r="R8" s="162">
        <f>SUM(F8:P8)</f>
        <v>5409.66</v>
      </c>
      <c r="S8" s="51">
        <f>SUM(J8+K8+M8+N8)/R8</f>
        <v>0.64771353467685588</v>
      </c>
      <c r="T8" s="51">
        <f>SUM(M8+N8)/R8</f>
        <v>1.1091270061334724E-2</v>
      </c>
      <c r="U8" s="51">
        <f>P8/R8</f>
        <v>0.31531556511869507</v>
      </c>
      <c r="V8" s="157"/>
      <c r="W8" s="154"/>
      <c r="X8" s="157"/>
      <c r="Y8" s="157">
        <f t="shared" si="1"/>
        <v>16.196586826347303</v>
      </c>
      <c r="Z8" s="158">
        <f t="shared" si="2"/>
        <v>416.12769230769231</v>
      </c>
      <c r="AA8" s="147" t="s">
        <v>51</v>
      </c>
      <c r="AB8" s="146" t="s">
        <v>110</v>
      </c>
    </row>
    <row r="9" spans="1:269" ht="16" x14ac:dyDescent="0.2">
      <c r="A9" s="222">
        <v>44429</v>
      </c>
      <c r="B9" s="159">
        <v>2021</v>
      </c>
      <c r="C9" s="146" t="s">
        <v>31</v>
      </c>
      <c r="D9" s="230">
        <v>557</v>
      </c>
      <c r="E9" s="230">
        <v>13</v>
      </c>
      <c r="F9" s="233">
        <v>200</v>
      </c>
      <c r="G9" s="157"/>
      <c r="J9" s="233">
        <v>1700</v>
      </c>
      <c r="K9" s="233">
        <v>3471.54</v>
      </c>
      <c r="M9" s="233">
        <v>107</v>
      </c>
      <c r="N9" s="233">
        <v>88</v>
      </c>
      <c r="P9" s="233">
        <v>2051.5</v>
      </c>
      <c r="Q9" s="157"/>
      <c r="R9" s="234">
        <v>7618.04</v>
      </c>
      <c r="S9" s="235">
        <v>0.7044515387159952</v>
      </c>
      <c r="T9" s="235">
        <v>2.5597135221132994E-2</v>
      </c>
      <c r="U9" s="235">
        <v>0.26929498926232992</v>
      </c>
      <c r="V9" s="233"/>
      <c r="W9" s="154"/>
      <c r="X9" s="157"/>
      <c r="Y9" s="157">
        <f t="shared" si="1"/>
        <v>13.676912028725313</v>
      </c>
      <c r="Z9" s="158">
        <f t="shared" si="2"/>
        <v>586.00307692307695</v>
      </c>
      <c r="AA9" s="147" t="s">
        <v>38</v>
      </c>
      <c r="AB9" s="146" t="s">
        <v>110</v>
      </c>
    </row>
    <row r="10" spans="1:269" ht="16" x14ac:dyDescent="0.2">
      <c r="A10" s="222">
        <v>44457</v>
      </c>
      <c r="B10" s="159">
        <v>2021</v>
      </c>
      <c r="C10" s="146" t="s">
        <v>32</v>
      </c>
      <c r="D10" s="230">
        <v>134</v>
      </c>
      <c r="E10" s="230">
        <v>6</v>
      </c>
      <c r="F10" s="233">
        <v>100</v>
      </c>
      <c r="G10" s="157"/>
      <c r="J10" s="233">
        <v>380</v>
      </c>
      <c r="K10" s="233">
        <v>618</v>
      </c>
      <c r="M10" s="233">
        <v>0</v>
      </c>
      <c r="N10" s="233">
        <v>0</v>
      </c>
      <c r="P10" s="233">
        <v>613</v>
      </c>
      <c r="Q10" s="157"/>
      <c r="R10" s="234">
        <v>1711</v>
      </c>
      <c r="S10" s="235">
        <v>0.58328462887200472</v>
      </c>
      <c r="T10" s="235">
        <v>0</v>
      </c>
      <c r="U10" s="235">
        <v>0.41671537112799534</v>
      </c>
      <c r="V10" s="233"/>
      <c r="W10" s="154"/>
      <c r="X10" s="157"/>
      <c r="Y10" s="157">
        <f t="shared" si="1"/>
        <v>12.76865671641791</v>
      </c>
      <c r="Z10" s="158">
        <f t="shared" si="2"/>
        <v>285.16666666666669</v>
      </c>
      <c r="AA10" s="147" t="s">
        <v>124</v>
      </c>
      <c r="AB10" s="146" t="s">
        <v>110</v>
      </c>
    </row>
    <row r="11" spans="1:269" ht="16" x14ac:dyDescent="0.2">
      <c r="A11" s="222">
        <v>42161</v>
      </c>
      <c r="B11" s="159">
        <v>2015</v>
      </c>
      <c r="C11" s="146" t="s">
        <v>29</v>
      </c>
      <c r="D11" s="154">
        <v>328</v>
      </c>
      <c r="E11" s="154">
        <v>18</v>
      </c>
      <c r="G11" s="154">
        <v>16</v>
      </c>
      <c r="I11" s="155">
        <v>409.55</v>
      </c>
      <c r="L11" s="155"/>
      <c r="Q11" s="155">
        <v>1320</v>
      </c>
      <c r="R11" s="156">
        <f>SUM(I11,Q11)</f>
        <v>1729.55</v>
      </c>
      <c r="S11" s="51">
        <v>0.24</v>
      </c>
      <c r="T11" s="51">
        <v>0</v>
      </c>
      <c r="U11" s="51">
        <v>0.76</v>
      </c>
      <c r="Y11" s="157">
        <f t="shared" si="1"/>
        <v>5.2730182926829263</v>
      </c>
      <c r="Z11" s="158">
        <f t="shared" si="2"/>
        <v>96.086111111111109</v>
      </c>
      <c r="AB11" s="146" t="s">
        <v>123</v>
      </c>
    </row>
    <row r="12" spans="1:269" ht="16" x14ac:dyDescent="0.2">
      <c r="A12" s="222">
        <v>42168</v>
      </c>
      <c r="B12" s="159">
        <v>2015</v>
      </c>
      <c r="C12" s="146" t="s">
        <v>29</v>
      </c>
      <c r="D12" s="154">
        <v>317</v>
      </c>
      <c r="E12" s="154">
        <v>20</v>
      </c>
      <c r="G12" s="154">
        <v>16</v>
      </c>
      <c r="I12" s="155">
        <v>558.9</v>
      </c>
      <c r="L12" s="155">
        <v>2</v>
      </c>
      <c r="Q12" s="155">
        <v>901.5</v>
      </c>
      <c r="R12" s="156">
        <v>1474.4</v>
      </c>
      <c r="S12" s="51">
        <v>0.38</v>
      </c>
      <c r="T12" s="51">
        <v>0.01</v>
      </c>
      <c r="U12" s="51">
        <v>0.61</v>
      </c>
      <c r="Y12" s="157">
        <f t="shared" si="1"/>
        <v>4.6511041009463723</v>
      </c>
      <c r="Z12" s="158">
        <f t="shared" si="2"/>
        <v>73.72</v>
      </c>
      <c r="AB12" s="146" t="s">
        <v>123</v>
      </c>
    </row>
    <row r="13" spans="1:269" ht="16" x14ac:dyDescent="0.2">
      <c r="A13" s="222">
        <v>42175</v>
      </c>
      <c r="B13" s="159">
        <v>2015</v>
      </c>
      <c r="C13" s="146" t="s">
        <v>29</v>
      </c>
      <c r="D13" s="154">
        <v>217</v>
      </c>
      <c r="E13" s="154">
        <v>13</v>
      </c>
      <c r="G13" s="149">
        <v>13</v>
      </c>
      <c r="I13" s="155">
        <v>365.15</v>
      </c>
      <c r="L13" s="155">
        <v>8</v>
      </c>
      <c r="Q13" s="155">
        <v>934</v>
      </c>
      <c r="R13" s="156">
        <f t="shared" ref="R13:R20" si="3">SUM(I13,Q13)</f>
        <v>1299.1500000000001</v>
      </c>
      <c r="S13" s="51">
        <v>0.28000000000000003</v>
      </c>
      <c r="T13" s="51">
        <v>8.9999999999999993E-3</v>
      </c>
      <c r="U13" s="51">
        <v>0.72</v>
      </c>
      <c r="Y13" s="157">
        <f t="shared" si="1"/>
        <v>5.9868663594470046</v>
      </c>
      <c r="Z13" s="158">
        <f t="shared" si="2"/>
        <v>99.934615384615398</v>
      </c>
      <c r="AB13" s="146" t="s">
        <v>123</v>
      </c>
    </row>
    <row r="14" spans="1:269" ht="16" x14ac:dyDescent="0.2">
      <c r="A14" s="222">
        <v>42182</v>
      </c>
      <c r="B14" s="159">
        <v>2015</v>
      </c>
      <c r="C14" s="146" t="s">
        <v>29</v>
      </c>
      <c r="D14" s="154">
        <v>496</v>
      </c>
      <c r="E14" s="154">
        <v>16</v>
      </c>
      <c r="G14" s="149">
        <v>16</v>
      </c>
      <c r="I14" s="155">
        <v>341.05</v>
      </c>
      <c r="L14" s="155">
        <v>5</v>
      </c>
      <c r="Q14" s="155">
        <v>1118.75</v>
      </c>
      <c r="R14" s="156">
        <f t="shared" si="3"/>
        <v>1459.8</v>
      </c>
      <c r="S14" s="51">
        <v>0.23</v>
      </c>
      <c r="T14" s="51">
        <v>3.0000000000000001E-3</v>
      </c>
      <c r="U14" s="51">
        <v>0.77</v>
      </c>
      <c r="Y14" s="157">
        <f t="shared" si="1"/>
        <v>2.9431451612903223</v>
      </c>
      <c r="Z14" s="158">
        <f t="shared" si="2"/>
        <v>91.237499999999997</v>
      </c>
      <c r="AB14" s="146" t="s">
        <v>123</v>
      </c>
    </row>
    <row r="15" spans="1:269" ht="16" x14ac:dyDescent="0.2">
      <c r="A15" s="222">
        <v>42189</v>
      </c>
      <c r="B15" s="159">
        <v>2015</v>
      </c>
      <c r="C15" s="146" t="s">
        <v>30</v>
      </c>
      <c r="D15" s="154">
        <v>702</v>
      </c>
      <c r="E15" s="154">
        <v>14</v>
      </c>
      <c r="G15" s="154">
        <v>13</v>
      </c>
      <c r="I15" s="155">
        <v>411</v>
      </c>
      <c r="L15" s="155">
        <v>0</v>
      </c>
      <c r="Q15" s="155">
        <v>1613</v>
      </c>
      <c r="R15" s="156">
        <f t="shared" si="3"/>
        <v>2024</v>
      </c>
      <c r="S15" s="51">
        <v>0.2</v>
      </c>
      <c r="T15" s="51">
        <v>0</v>
      </c>
      <c r="U15" s="51">
        <v>0.8</v>
      </c>
      <c r="Y15" s="157">
        <f t="shared" si="1"/>
        <v>2.883190883190883</v>
      </c>
      <c r="Z15" s="158">
        <f t="shared" si="2"/>
        <v>144.57142857142858</v>
      </c>
      <c r="AB15" s="146" t="s">
        <v>123</v>
      </c>
    </row>
    <row r="16" spans="1:269" ht="16" x14ac:dyDescent="0.2">
      <c r="A16" s="222">
        <v>42196</v>
      </c>
      <c r="B16" s="159">
        <v>2015</v>
      </c>
      <c r="C16" s="146" t="s">
        <v>30</v>
      </c>
      <c r="D16" s="154">
        <v>133</v>
      </c>
      <c r="E16" s="159">
        <v>12</v>
      </c>
      <c r="G16" s="149">
        <v>12</v>
      </c>
      <c r="I16" s="155">
        <v>365</v>
      </c>
      <c r="L16" s="160">
        <v>10</v>
      </c>
      <c r="Q16" s="155">
        <v>705.25</v>
      </c>
      <c r="R16" s="156">
        <f t="shared" si="3"/>
        <v>1070.25</v>
      </c>
      <c r="S16" s="51">
        <v>0.34</v>
      </c>
      <c r="T16" s="247">
        <v>8.9999999999999993E-3</v>
      </c>
      <c r="U16" s="51">
        <v>0.66</v>
      </c>
      <c r="Y16" s="157">
        <f t="shared" si="1"/>
        <v>8.0469924812030076</v>
      </c>
      <c r="Z16" s="158">
        <f t="shared" si="2"/>
        <v>89.1875</v>
      </c>
      <c r="AA16" s="146" t="s">
        <v>69</v>
      </c>
      <c r="AB16" s="146" t="s">
        <v>123</v>
      </c>
    </row>
    <row r="17" spans="1:28" ht="17.5" customHeight="1" x14ac:dyDescent="0.2">
      <c r="A17" s="222">
        <v>42203</v>
      </c>
      <c r="B17" s="159">
        <v>2015</v>
      </c>
      <c r="C17" s="146" t="s">
        <v>30</v>
      </c>
      <c r="D17" s="154">
        <v>152</v>
      </c>
      <c r="E17" s="159">
        <v>10</v>
      </c>
      <c r="G17" s="149">
        <v>10</v>
      </c>
      <c r="I17" s="155">
        <v>343.25</v>
      </c>
      <c r="L17" s="155"/>
      <c r="Q17" s="155">
        <v>705.75</v>
      </c>
      <c r="R17" s="156">
        <f t="shared" si="3"/>
        <v>1049</v>
      </c>
      <c r="S17" s="51">
        <v>0.33</v>
      </c>
      <c r="T17" s="51">
        <v>0</v>
      </c>
      <c r="U17" s="51">
        <v>0.67</v>
      </c>
      <c r="Y17" s="157">
        <f t="shared" si="1"/>
        <v>6.9013157894736841</v>
      </c>
      <c r="Z17" s="158">
        <f t="shared" si="2"/>
        <v>104.9</v>
      </c>
      <c r="AB17" s="146" t="s">
        <v>123</v>
      </c>
    </row>
    <row r="18" spans="1:28" ht="17" customHeight="1" x14ac:dyDescent="0.2">
      <c r="A18" s="222">
        <v>42210</v>
      </c>
      <c r="B18" s="159">
        <v>2015</v>
      </c>
      <c r="C18" s="146" t="s">
        <v>30</v>
      </c>
      <c r="D18" s="154">
        <v>198</v>
      </c>
      <c r="E18" s="159">
        <v>10</v>
      </c>
      <c r="G18" s="154">
        <v>9</v>
      </c>
      <c r="I18" s="155">
        <v>392.88</v>
      </c>
      <c r="L18" s="155"/>
      <c r="Q18" s="155">
        <v>867</v>
      </c>
      <c r="R18" s="156">
        <f t="shared" si="3"/>
        <v>1259.8800000000001</v>
      </c>
      <c r="S18" s="51">
        <v>0.31</v>
      </c>
      <c r="T18" s="51">
        <v>0</v>
      </c>
      <c r="U18" s="51">
        <v>0.69</v>
      </c>
      <c r="Y18" s="157">
        <f t="shared" si="1"/>
        <v>6.3630303030303033</v>
      </c>
      <c r="Z18" s="158">
        <f t="shared" si="2"/>
        <v>125.98800000000001</v>
      </c>
      <c r="AB18" s="146" t="s">
        <v>123</v>
      </c>
    </row>
    <row r="19" spans="1:28" ht="17" customHeight="1" x14ac:dyDescent="0.2">
      <c r="A19" s="222">
        <v>42217</v>
      </c>
      <c r="B19" s="159">
        <v>2015</v>
      </c>
      <c r="C19" s="146" t="s">
        <v>31</v>
      </c>
      <c r="D19" s="159">
        <v>298</v>
      </c>
      <c r="E19" s="159">
        <v>9</v>
      </c>
      <c r="G19" s="159">
        <v>9</v>
      </c>
      <c r="I19" s="155">
        <v>653.52</v>
      </c>
      <c r="L19" s="155"/>
      <c r="Q19" s="155">
        <v>544.5</v>
      </c>
      <c r="R19" s="156">
        <f t="shared" si="3"/>
        <v>1198.02</v>
      </c>
      <c r="S19" s="51">
        <v>0.55000000000000004</v>
      </c>
      <c r="T19" s="51">
        <f>QUOTIENT(L19,R19)</f>
        <v>0</v>
      </c>
      <c r="U19" s="51">
        <v>0.45</v>
      </c>
      <c r="Y19" s="157">
        <f t="shared" si="1"/>
        <v>4.0202013422818794</v>
      </c>
      <c r="Z19" s="158">
        <f t="shared" si="2"/>
        <v>133.11333333333334</v>
      </c>
      <c r="AB19" s="146" t="s">
        <v>123</v>
      </c>
    </row>
    <row r="20" spans="1:28" ht="17" customHeight="1" x14ac:dyDescent="0.2">
      <c r="A20" s="222">
        <v>42224</v>
      </c>
      <c r="B20" s="159">
        <v>2015</v>
      </c>
      <c r="C20" s="146" t="s">
        <v>31</v>
      </c>
      <c r="D20" s="159">
        <v>216</v>
      </c>
      <c r="E20" s="159">
        <v>12</v>
      </c>
      <c r="G20" s="159">
        <v>10</v>
      </c>
      <c r="I20" s="155">
        <v>593.70000000000005</v>
      </c>
      <c r="L20" s="155">
        <v>59</v>
      </c>
      <c r="Q20" s="155">
        <v>519.5</v>
      </c>
      <c r="R20" s="156">
        <f t="shared" si="3"/>
        <v>1113.2</v>
      </c>
      <c r="S20" s="51">
        <v>0.53</v>
      </c>
      <c r="T20" s="51">
        <v>0.05</v>
      </c>
      <c r="U20" s="51">
        <v>0.42</v>
      </c>
      <c r="Y20" s="157">
        <f t="shared" si="1"/>
        <v>5.1537037037037043</v>
      </c>
      <c r="Z20" s="158">
        <f t="shared" si="2"/>
        <v>92.766666666666666</v>
      </c>
      <c r="AB20" s="146" t="s">
        <v>123</v>
      </c>
    </row>
    <row r="21" spans="1:28" ht="17" customHeight="1" x14ac:dyDescent="0.2">
      <c r="A21" s="222">
        <v>42231</v>
      </c>
      <c r="B21" s="159">
        <v>2015</v>
      </c>
      <c r="C21" s="146" t="s">
        <v>31</v>
      </c>
      <c r="D21" s="159">
        <v>177</v>
      </c>
      <c r="E21" s="159">
        <v>11</v>
      </c>
      <c r="G21" s="161">
        <v>11</v>
      </c>
      <c r="I21" s="155">
        <v>499.6</v>
      </c>
      <c r="L21" s="155">
        <v>20</v>
      </c>
      <c r="Q21" s="155">
        <v>469</v>
      </c>
      <c r="R21" s="156">
        <v>968.6</v>
      </c>
      <c r="S21" s="51">
        <v>0.52</v>
      </c>
      <c r="T21" s="51">
        <v>0.02</v>
      </c>
      <c r="U21" s="51">
        <v>0.46</v>
      </c>
      <c r="Y21" s="157">
        <f t="shared" si="1"/>
        <v>5.4723163841807914</v>
      </c>
      <c r="Z21" s="158">
        <f t="shared" si="2"/>
        <v>88.054545454545462</v>
      </c>
      <c r="AA21" s="146" t="s">
        <v>70</v>
      </c>
      <c r="AB21" s="146" t="s">
        <v>123</v>
      </c>
    </row>
    <row r="22" spans="1:28" ht="17" customHeight="1" x14ac:dyDescent="0.2">
      <c r="A22" s="222">
        <v>42238</v>
      </c>
      <c r="B22" s="159">
        <v>2015</v>
      </c>
      <c r="C22" s="146" t="s">
        <v>31</v>
      </c>
      <c r="D22" s="159">
        <v>193</v>
      </c>
      <c r="E22" s="159">
        <v>13</v>
      </c>
      <c r="G22" s="159">
        <v>9</v>
      </c>
      <c r="I22" s="155">
        <v>485.5</v>
      </c>
      <c r="L22" s="155">
        <v>41</v>
      </c>
      <c r="Q22" s="155">
        <v>561.5</v>
      </c>
      <c r="R22" s="156">
        <f>SUM(I22,Q22)</f>
        <v>1047</v>
      </c>
      <c r="S22" s="51">
        <v>0.46</v>
      </c>
      <c r="T22" s="51">
        <v>0.04</v>
      </c>
      <c r="U22" s="51">
        <v>0.5</v>
      </c>
      <c r="Y22" s="157">
        <f t="shared" si="1"/>
        <v>5.4248704663212433</v>
      </c>
      <c r="Z22" s="158">
        <f t="shared" si="2"/>
        <v>80.538461538461533</v>
      </c>
      <c r="AB22" s="146" t="s">
        <v>123</v>
      </c>
    </row>
    <row r="23" spans="1:28" ht="17" customHeight="1" x14ac:dyDescent="0.2">
      <c r="A23" s="222">
        <v>42245</v>
      </c>
      <c r="B23" s="159">
        <v>2015</v>
      </c>
      <c r="C23" s="146" t="s">
        <v>31</v>
      </c>
      <c r="D23" s="159">
        <v>42</v>
      </c>
      <c r="E23" s="159">
        <v>8</v>
      </c>
      <c r="G23" s="159">
        <v>6</v>
      </c>
      <c r="I23" s="155">
        <v>298</v>
      </c>
      <c r="L23" s="155">
        <v>12</v>
      </c>
      <c r="Q23" s="155">
        <v>191</v>
      </c>
      <c r="R23" s="156">
        <f>SUM(I23,Q23)</f>
        <v>489</v>
      </c>
      <c r="S23" s="51">
        <v>0.61</v>
      </c>
      <c r="T23" s="51">
        <v>0.02</v>
      </c>
      <c r="U23" s="51">
        <v>0.27</v>
      </c>
      <c r="Y23" s="157">
        <f t="shared" si="1"/>
        <v>11.642857142857142</v>
      </c>
      <c r="Z23" s="158">
        <f t="shared" si="2"/>
        <v>61.125</v>
      </c>
      <c r="AB23" s="146" t="s">
        <v>123</v>
      </c>
    </row>
    <row r="24" spans="1:28" ht="17" customHeight="1" x14ac:dyDescent="0.2">
      <c r="A24" s="222">
        <v>42252</v>
      </c>
      <c r="B24" s="159">
        <v>2015</v>
      </c>
      <c r="C24" s="146" t="s">
        <v>32</v>
      </c>
      <c r="D24" s="159">
        <v>169</v>
      </c>
      <c r="E24" s="159">
        <v>10</v>
      </c>
      <c r="G24" s="161">
        <v>10</v>
      </c>
      <c r="I24" s="155">
        <v>459.5</v>
      </c>
      <c r="L24" s="155">
        <v>4</v>
      </c>
      <c r="Q24" s="155">
        <v>665</v>
      </c>
      <c r="R24" s="156">
        <f>SUM(I24,Q24)</f>
        <v>1124.5</v>
      </c>
      <c r="S24" s="51">
        <v>0.41</v>
      </c>
      <c r="T24" s="51">
        <v>3.0000000000000001E-3</v>
      </c>
      <c r="U24" s="51">
        <v>0.59</v>
      </c>
      <c r="Y24" s="157">
        <f t="shared" si="1"/>
        <v>6.6538461538461542</v>
      </c>
      <c r="Z24" s="158">
        <f t="shared" si="2"/>
        <v>112.45</v>
      </c>
      <c r="AB24" s="146" t="s">
        <v>123</v>
      </c>
    </row>
    <row r="25" spans="1:28" ht="17" customHeight="1" x14ac:dyDescent="0.2">
      <c r="A25" s="222">
        <v>42259</v>
      </c>
      <c r="B25" s="159">
        <v>2015</v>
      </c>
      <c r="C25" s="146" t="s">
        <v>32</v>
      </c>
      <c r="D25" s="159">
        <v>190</v>
      </c>
      <c r="E25" s="159">
        <v>10</v>
      </c>
      <c r="G25" s="161">
        <v>10</v>
      </c>
      <c r="I25" s="155">
        <v>607.85</v>
      </c>
      <c r="L25" s="155">
        <v>51</v>
      </c>
      <c r="Q25" s="155">
        <v>409</v>
      </c>
      <c r="R25" s="156">
        <f>SUM(I25,Q25)</f>
        <v>1016.85</v>
      </c>
      <c r="S25" s="51">
        <v>0.6</v>
      </c>
      <c r="T25" s="51">
        <v>0.05</v>
      </c>
      <c r="U25" s="51">
        <v>0.35</v>
      </c>
      <c r="Y25" s="157">
        <f t="shared" si="1"/>
        <v>5.3518421052631577</v>
      </c>
      <c r="Z25" s="158">
        <f t="shared" si="2"/>
        <v>101.685</v>
      </c>
      <c r="AB25" s="146" t="s">
        <v>123</v>
      </c>
    </row>
    <row r="26" spans="1:28" ht="17" customHeight="1" x14ac:dyDescent="0.2">
      <c r="A26" s="222">
        <v>42266</v>
      </c>
      <c r="B26" s="159">
        <v>2015</v>
      </c>
      <c r="C26" s="146" t="s">
        <v>32</v>
      </c>
      <c r="D26" s="159">
        <v>166</v>
      </c>
      <c r="E26" s="159">
        <v>10</v>
      </c>
      <c r="G26" s="159">
        <v>8</v>
      </c>
      <c r="I26" s="155">
        <v>473.68</v>
      </c>
      <c r="L26" s="155">
        <v>24</v>
      </c>
      <c r="Q26" s="155">
        <v>333</v>
      </c>
      <c r="R26" s="156">
        <v>806.68</v>
      </c>
      <c r="S26" s="51">
        <v>0.59</v>
      </c>
      <c r="T26" s="51">
        <v>0.03</v>
      </c>
      <c r="U26" s="51">
        <v>0.38</v>
      </c>
      <c r="Y26" s="157">
        <f t="shared" si="1"/>
        <v>4.8595180722891564</v>
      </c>
      <c r="Z26" s="158">
        <f t="shared" si="2"/>
        <v>80.667999999999992</v>
      </c>
      <c r="AB26" s="146" t="s">
        <v>123</v>
      </c>
    </row>
    <row r="27" spans="1:28" ht="17" customHeight="1" x14ac:dyDescent="0.2">
      <c r="A27" s="222">
        <v>42273</v>
      </c>
      <c r="B27" s="159">
        <v>2015</v>
      </c>
      <c r="C27" s="146" t="s">
        <v>32</v>
      </c>
      <c r="D27" s="159">
        <v>137</v>
      </c>
      <c r="E27" s="159">
        <v>11</v>
      </c>
      <c r="G27" s="159">
        <v>8</v>
      </c>
      <c r="I27" s="155">
        <v>278.5</v>
      </c>
      <c r="L27" s="155">
        <v>16</v>
      </c>
      <c r="Q27" s="155">
        <v>663</v>
      </c>
      <c r="R27" s="156">
        <v>941.5</v>
      </c>
      <c r="S27" s="51">
        <v>0.3</v>
      </c>
      <c r="T27" s="51">
        <v>0.02</v>
      </c>
      <c r="U27" s="51">
        <v>0.68</v>
      </c>
      <c r="Y27" s="157">
        <f t="shared" si="1"/>
        <v>6.8722627737226274</v>
      </c>
      <c r="Z27" s="158">
        <f t="shared" si="2"/>
        <v>85.590909090909093</v>
      </c>
      <c r="AB27" s="146" t="s">
        <v>123</v>
      </c>
    </row>
    <row r="28" spans="1:28" ht="17" customHeight="1" x14ac:dyDescent="0.2">
      <c r="A28" s="222">
        <v>43253</v>
      </c>
      <c r="B28" s="159">
        <v>2018</v>
      </c>
      <c r="C28" s="146" t="s">
        <v>29</v>
      </c>
      <c r="D28" s="159">
        <v>409</v>
      </c>
      <c r="E28" s="159">
        <v>14</v>
      </c>
      <c r="G28" s="159">
        <v>14</v>
      </c>
      <c r="J28" s="157">
        <v>690.48</v>
      </c>
      <c r="K28" s="157">
        <v>1651.37</v>
      </c>
      <c r="M28" s="157">
        <v>0</v>
      </c>
      <c r="N28" s="157">
        <v>0</v>
      </c>
      <c r="O28" s="157">
        <v>42</v>
      </c>
      <c r="P28" s="157">
        <v>892</v>
      </c>
      <c r="R28" s="162">
        <f t="shared" ref="R28:R42" si="4">SUM(J28:P28)</f>
        <v>3275.85</v>
      </c>
      <c r="S28" s="51">
        <f t="shared" ref="S28:S52" si="5">SUM(J28+K28+M28+N28+O28)/R28</f>
        <v>0.72770425996306298</v>
      </c>
      <c r="T28" s="51">
        <f t="shared" ref="T28:T59" si="6">SUM(M28+N28)/R28</f>
        <v>0</v>
      </c>
      <c r="U28" s="51">
        <f t="shared" ref="U28:U42" si="7">P28/R28</f>
        <v>0.27229574003693696</v>
      </c>
      <c r="V28" s="147"/>
      <c r="Y28" s="157">
        <f t="shared" si="1"/>
        <v>8.0094132029339846</v>
      </c>
      <c r="Z28" s="158">
        <f t="shared" si="2"/>
        <v>233.9892857142857</v>
      </c>
      <c r="AA28" s="147" t="s">
        <v>48</v>
      </c>
      <c r="AB28" s="146" t="s">
        <v>123</v>
      </c>
    </row>
    <row r="29" spans="1:28" ht="17" customHeight="1" x14ac:dyDescent="0.2">
      <c r="A29" s="222">
        <v>43260</v>
      </c>
      <c r="B29" s="159">
        <v>2018</v>
      </c>
      <c r="C29" s="146" t="s">
        <v>29</v>
      </c>
      <c r="D29" s="154">
        <v>269</v>
      </c>
      <c r="E29" s="154">
        <v>13</v>
      </c>
      <c r="G29" s="154">
        <v>13</v>
      </c>
      <c r="J29" s="157">
        <v>406.08</v>
      </c>
      <c r="K29" s="157">
        <v>1162.17</v>
      </c>
      <c r="M29" s="157">
        <v>0</v>
      </c>
      <c r="N29" s="157">
        <v>0</v>
      </c>
      <c r="O29" s="157">
        <v>20</v>
      </c>
      <c r="P29" s="157">
        <v>453.5</v>
      </c>
      <c r="R29" s="162">
        <f t="shared" si="4"/>
        <v>2041.75</v>
      </c>
      <c r="S29" s="51">
        <f t="shared" si="5"/>
        <v>0.77788661687278071</v>
      </c>
      <c r="T29" s="51">
        <f t="shared" si="6"/>
        <v>0</v>
      </c>
      <c r="U29" s="51">
        <f t="shared" si="7"/>
        <v>0.22211338312721929</v>
      </c>
      <c r="V29" s="147"/>
      <c r="Y29" s="157">
        <f t="shared" si="1"/>
        <v>7.5901486988847582</v>
      </c>
      <c r="Z29" s="158">
        <f t="shared" si="2"/>
        <v>157.05769230769232</v>
      </c>
      <c r="AA29" s="147" t="s">
        <v>59</v>
      </c>
      <c r="AB29" s="146" t="s">
        <v>123</v>
      </c>
    </row>
    <row r="30" spans="1:28" ht="17" customHeight="1" x14ac:dyDescent="0.2">
      <c r="A30" s="222">
        <v>43267</v>
      </c>
      <c r="B30" s="159">
        <v>2018</v>
      </c>
      <c r="C30" s="146" t="s">
        <v>29</v>
      </c>
      <c r="D30" s="154">
        <v>378</v>
      </c>
      <c r="E30" s="154">
        <v>16</v>
      </c>
      <c r="G30" s="154">
        <v>16</v>
      </c>
      <c r="J30" s="157">
        <v>467</v>
      </c>
      <c r="K30" s="157">
        <v>1254.5</v>
      </c>
      <c r="M30" s="157">
        <v>8</v>
      </c>
      <c r="N30" s="157">
        <v>20</v>
      </c>
      <c r="O30" s="157">
        <v>50</v>
      </c>
      <c r="P30" s="157">
        <v>553.5</v>
      </c>
      <c r="R30" s="162">
        <f t="shared" si="4"/>
        <v>2353</v>
      </c>
      <c r="S30" s="51">
        <f t="shared" si="5"/>
        <v>0.76476838079048026</v>
      </c>
      <c r="T30" s="51">
        <f t="shared" si="6"/>
        <v>1.1899702507437314E-2</v>
      </c>
      <c r="U30" s="51">
        <f t="shared" si="7"/>
        <v>0.23523161920951977</v>
      </c>
      <c r="V30" s="147"/>
      <c r="Y30" s="157">
        <f t="shared" si="1"/>
        <v>6.2248677248677247</v>
      </c>
      <c r="Z30" s="158">
        <f t="shared" si="2"/>
        <v>147.0625</v>
      </c>
      <c r="AA30" s="147" t="s">
        <v>58</v>
      </c>
      <c r="AB30" s="146" t="s">
        <v>123</v>
      </c>
    </row>
    <row r="31" spans="1:28" ht="17" customHeight="1" x14ac:dyDescent="0.2">
      <c r="A31" s="222">
        <v>43274</v>
      </c>
      <c r="B31" s="159">
        <v>2018</v>
      </c>
      <c r="C31" s="146" t="s">
        <v>29</v>
      </c>
      <c r="D31" s="154">
        <v>280</v>
      </c>
      <c r="E31" s="154">
        <v>14</v>
      </c>
      <c r="G31" s="163">
        <v>14</v>
      </c>
      <c r="J31" s="157">
        <v>359</v>
      </c>
      <c r="K31" s="157">
        <v>1727.25</v>
      </c>
      <c r="M31" s="157">
        <v>0</v>
      </c>
      <c r="N31" s="157">
        <v>16</v>
      </c>
      <c r="O31" s="157">
        <v>36</v>
      </c>
      <c r="P31" s="157">
        <v>886.5</v>
      </c>
      <c r="R31" s="162">
        <f t="shared" si="4"/>
        <v>3024.75</v>
      </c>
      <c r="S31" s="51">
        <f t="shared" si="5"/>
        <v>0.70691792710141332</v>
      </c>
      <c r="T31" s="51">
        <f t="shared" si="6"/>
        <v>5.2896933630878582E-3</v>
      </c>
      <c r="U31" s="51">
        <f t="shared" si="7"/>
        <v>0.29308207289858668</v>
      </c>
      <c r="V31" s="147"/>
      <c r="Y31" s="157">
        <f t="shared" si="1"/>
        <v>10.802678571428572</v>
      </c>
      <c r="Z31" s="158">
        <f t="shared" si="2"/>
        <v>216.05357142857142</v>
      </c>
      <c r="AA31" s="147"/>
      <c r="AB31" s="146" t="s">
        <v>123</v>
      </c>
    </row>
    <row r="32" spans="1:28" ht="17" customHeight="1" x14ac:dyDescent="0.2">
      <c r="A32" s="222">
        <v>43281</v>
      </c>
      <c r="B32" s="159">
        <v>2018</v>
      </c>
      <c r="C32" s="146" t="s">
        <v>29</v>
      </c>
      <c r="D32" s="154">
        <v>535</v>
      </c>
      <c r="E32" s="154">
        <v>14</v>
      </c>
      <c r="G32" s="154">
        <v>14</v>
      </c>
      <c r="J32" s="157">
        <v>384</v>
      </c>
      <c r="K32" s="157">
        <v>1367</v>
      </c>
      <c r="M32" s="157">
        <v>0</v>
      </c>
      <c r="N32" s="157">
        <v>20</v>
      </c>
      <c r="O32" s="157">
        <v>50</v>
      </c>
      <c r="P32" s="157">
        <v>618.45000000000005</v>
      </c>
      <c r="R32" s="162">
        <f t="shared" si="4"/>
        <v>2439.4499999999998</v>
      </c>
      <c r="S32" s="51">
        <f t="shared" si="5"/>
        <v>0.74647973928549471</v>
      </c>
      <c r="T32" s="51">
        <f t="shared" si="6"/>
        <v>8.1985693496484865E-3</v>
      </c>
      <c r="U32" s="51">
        <f t="shared" si="7"/>
        <v>0.25352026071450534</v>
      </c>
      <c r="V32" s="147"/>
      <c r="Y32" s="157">
        <f t="shared" si="1"/>
        <v>4.5597196261682242</v>
      </c>
      <c r="Z32" s="158">
        <f t="shared" si="2"/>
        <v>174.24642857142857</v>
      </c>
      <c r="AA32" s="147" t="s">
        <v>57</v>
      </c>
      <c r="AB32" s="146" t="s">
        <v>123</v>
      </c>
    </row>
    <row r="33" spans="1:269" ht="17" customHeight="1" x14ac:dyDescent="0.2">
      <c r="A33" s="222">
        <v>43288</v>
      </c>
      <c r="B33" s="159">
        <v>2018</v>
      </c>
      <c r="C33" s="146" t="s">
        <v>30</v>
      </c>
      <c r="D33" s="154">
        <v>246</v>
      </c>
      <c r="E33" s="154">
        <v>13</v>
      </c>
      <c r="G33" s="154">
        <v>13</v>
      </c>
      <c r="J33" s="157">
        <v>413</v>
      </c>
      <c r="K33" s="157">
        <v>1253.6300000000001</v>
      </c>
      <c r="M33" s="157">
        <v>0</v>
      </c>
      <c r="N33" s="157">
        <v>28</v>
      </c>
      <c r="O33" s="157">
        <v>30</v>
      </c>
      <c r="P33" s="157">
        <v>280.5</v>
      </c>
      <c r="R33" s="162">
        <f t="shared" si="4"/>
        <v>2005.13</v>
      </c>
      <c r="S33" s="51">
        <f t="shared" si="5"/>
        <v>0.86010882087445706</v>
      </c>
      <c r="T33" s="51">
        <f t="shared" si="6"/>
        <v>1.3964181873494486E-2</v>
      </c>
      <c r="U33" s="51">
        <f t="shared" si="7"/>
        <v>0.13989117912554297</v>
      </c>
      <c r="V33" s="147"/>
      <c r="Y33" s="157">
        <f t="shared" si="1"/>
        <v>8.1509349593495948</v>
      </c>
      <c r="Z33" s="158">
        <f t="shared" si="2"/>
        <v>154.24076923076925</v>
      </c>
      <c r="AA33" s="147" t="s">
        <v>42</v>
      </c>
      <c r="AB33" s="146" t="s">
        <v>123</v>
      </c>
    </row>
    <row r="34" spans="1:269" ht="17" customHeight="1" x14ac:dyDescent="0.2">
      <c r="A34" s="222">
        <v>43295</v>
      </c>
      <c r="B34" s="159">
        <v>2018</v>
      </c>
      <c r="C34" s="146" t="s">
        <v>30</v>
      </c>
      <c r="D34" s="154">
        <v>286</v>
      </c>
      <c r="E34" s="159">
        <v>15</v>
      </c>
      <c r="G34" s="154">
        <v>15</v>
      </c>
      <c r="J34" s="157">
        <v>360</v>
      </c>
      <c r="K34" s="157">
        <v>1462.3</v>
      </c>
      <c r="M34" s="157">
        <v>0</v>
      </c>
      <c r="N34" s="164">
        <v>36</v>
      </c>
      <c r="O34" s="164">
        <v>22</v>
      </c>
      <c r="P34" s="157">
        <v>347.5</v>
      </c>
      <c r="R34" s="162">
        <f t="shared" si="4"/>
        <v>2227.8000000000002</v>
      </c>
      <c r="S34" s="51">
        <f t="shared" si="5"/>
        <v>0.84401651853846837</v>
      </c>
      <c r="T34" s="51">
        <f t="shared" si="6"/>
        <v>1.6159439806086719E-2</v>
      </c>
      <c r="U34" s="51">
        <f t="shared" si="7"/>
        <v>0.15598348146153154</v>
      </c>
      <c r="V34" s="147"/>
      <c r="Y34" s="157">
        <f t="shared" ref="Y34:Y65" si="8">R34/D34</f>
        <v>7.7895104895104899</v>
      </c>
      <c r="Z34" s="158">
        <f t="shared" ref="Z34:Z65" si="9">R34/E34</f>
        <v>148.52000000000001</v>
      </c>
      <c r="AA34" s="147"/>
      <c r="AB34" s="146" t="s">
        <v>123</v>
      </c>
    </row>
    <row r="35" spans="1:269" ht="15.75" customHeight="1" x14ac:dyDescent="0.2">
      <c r="A35" s="222">
        <v>43302</v>
      </c>
      <c r="B35" s="159">
        <v>2018</v>
      </c>
      <c r="C35" s="146" t="s">
        <v>30</v>
      </c>
      <c r="D35" s="163">
        <v>238</v>
      </c>
      <c r="E35" s="165">
        <v>14</v>
      </c>
      <c r="G35" s="154">
        <v>14</v>
      </c>
      <c r="J35" s="157">
        <v>534</v>
      </c>
      <c r="K35" s="157">
        <v>1489.05</v>
      </c>
      <c r="M35" s="157">
        <v>0</v>
      </c>
      <c r="N35" s="157">
        <v>44</v>
      </c>
      <c r="O35" s="157">
        <v>18</v>
      </c>
      <c r="P35" s="157">
        <v>242</v>
      </c>
      <c r="R35" s="162">
        <f t="shared" si="4"/>
        <v>2327.0500000000002</v>
      </c>
      <c r="S35" s="51">
        <f t="shared" si="5"/>
        <v>0.8960056724178681</v>
      </c>
      <c r="T35" s="51">
        <f t="shared" si="6"/>
        <v>1.8908059560387613E-2</v>
      </c>
      <c r="U35" s="51">
        <f t="shared" si="7"/>
        <v>0.10399432758213188</v>
      </c>
      <c r="V35" s="147"/>
      <c r="Y35" s="157">
        <f t="shared" si="8"/>
        <v>9.7775210084033617</v>
      </c>
      <c r="Z35" s="158">
        <f t="shared" si="9"/>
        <v>166.21785714285716</v>
      </c>
      <c r="AA35" s="147" t="s">
        <v>41</v>
      </c>
      <c r="AB35" s="146" t="s">
        <v>123</v>
      </c>
    </row>
    <row r="36" spans="1:269" ht="16" x14ac:dyDescent="0.2">
      <c r="A36" s="222">
        <v>43316</v>
      </c>
      <c r="B36" s="159">
        <v>2018</v>
      </c>
      <c r="C36" s="146" t="s">
        <v>31</v>
      </c>
      <c r="D36" s="159">
        <v>320</v>
      </c>
      <c r="E36" s="159">
        <v>11</v>
      </c>
      <c r="G36" s="159">
        <v>11</v>
      </c>
      <c r="J36" s="157">
        <v>415</v>
      </c>
      <c r="K36" s="157">
        <v>1239.1600000000001</v>
      </c>
      <c r="M36" s="157">
        <v>0</v>
      </c>
      <c r="N36" s="157">
        <v>36</v>
      </c>
      <c r="O36" s="157">
        <v>12</v>
      </c>
      <c r="P36" s="157">
        <v>438</v>
      </c>
      <c r="R36" s="162">
        <f t="shared" si="4"/>
        <v>2140.16</v>
      </c>
      <c r="S36" s="51">
        <f t="shared" si="5"/>
        <v>0.79534240430622016</v>
      </c>
      <c r="T36" s="51">
        <f t="shared" si="6"/>
        <v>1.6821172248803831E-2</v>
      </c>
      <c r="U36" s="51">
        <f t="shared" si="7"/>
        <v>0.20465759569377992</v>
      </c>
      <c r="V36" s="147"/>
      <c r="Y36" s="157">
        <f t="shared" si="8"/>
        <v>6.6879999999999997</v>
      </c>
      <c r="Z36" s="158">
        <f t="shared" si="9"/>
        <v>194.55999999999997</v>
      </c>
      <c r="AA36" s="147"/>
      <c r="AB36" s="146" t="s">
        <v>123</v>
      </c>
    </row>
    <row r="37" spans="1:269" ht="16" x14ac:dyDescent="0.2">
      <c r="A37" s="222">
        <v>43323</v>
      </c>
      <c r="B37" s="159">
        <v>2018</v>
      </c>
      <c r="C37" s="146" t="s">
        <v>31</v>
      </c>
      <c r="D37" s="159">
        <v>181</v>
      </c>
      <c r="E37" s="159">
        <v>10</v>
      </c>
      <c r="G37" s="159">
        <v>10</v>
      </c>
      <c r="J37" s="157">
        <v>355</v>
      </c>
      <c r="K37" s="157">
        <v>1054.3399999999999</v>
      </c>
      <c r="M37" s="157">
        <v>0</v>
      </c>
      <c r="N37" s="157">
        <v>16</v>
      </c>
      <c r="O37" s="157">
        <v>18</v>
      </c>
      <c r="P37" s="157">
        <v>271</v>
      </c>
      <c r="R37" s="162">
        <f t="shared" si="4"/>
        <v>1714.34</v>
      </c>
      <c r="S37" s="51">
        <f t="shared" si="5"/>
        <v>0.84192167248037142</v>
      </c>
      <c r="T37" s="51">
        <f t="shared" si="6"/>
        <v>9.3330377871367418E-3</v>
      </c>
      <c r="U37" s="51">
        <f t="shared" si="7"/>
        <v>0.15807832751962855</v>
      </c>
      <c r="V37" s="147"/>
      <c r="Y37" s="157">
        <f t="shared" si="8"/>
        <v>9.4714917127071825</v>
      </c>
      <c r="Z37" s="158">
        <f t="shared" si="9"/>
        <v>171.434</v>
      </c>
      <c r="AA37" s="147" t="s">
        <v>55</v>
      </c>
      <c r="AB37" s="146" t="s">
        <v>123</v>
      </c>
    </row>
    <row r="38" spans="1:269" ht="19.75" customHeight="1" x14ac:dyDescent="0.2">
      <c r="A38" s="222">
        <v>43337</v>
      </c>
      <c r="B38" s="159">
        <v>2018</v>
      </c>
      <c r="C38" s="146" t="s">
        <v>31</v>
      </c>
      <c r="D38" s="159">
        <v>257</v>
      </c>
      <c r="E38" s="159">
        <v>13</v>
      </c>
      <c r="G38" s="159">
        <v>13</v>
      </c>
      <c r="J38" s="157">
        <v>457</v>
      </c>
      <c r="K38" s="157">
        <v>1569.36</v>
      </c>
      <c r="M38" s="157">
        <v>0</v>
      </c>
      <c r="N38" s="157">
        <v>48</v>
      </c>
      <c r="O38" s="157">
        <v>30</v>
      </c>
      <c r="P38" s="157">
        <v>518</v>
      </c>
      <c r="R38" s="162">
        <f t="shared" si="4"/>
        <v>2622.3599999999997</v>
      </c>
      <c r="S38" s="51">
        <f t="shared" si="5"/>
        <v>0.80246800591833312</v>
      </c>
      <c r="T38" s="51">
        <f t="shared" si="6"/>
        <v>1.8304123003706586E-2</v>
      </c>
      <c r="U38" s="51">
        <f t="shared" si="7"/>
        <v>0.19753199408166691</v>
      </c>
      <c r="V38" s="147"/>
      <c r="Y38" s="157">
        <f t="shared" si="8"/>
        <v>10.203735408560309</v>
      </c>
      <c r="Z38" s="158">
        <f t="shared" si="9"/>
        <v>201.71999999999997</v>
      </c>
      <c r="AA38" s="147"/>
      <c r="AB38" s="146" t="s">
        <v>123</v>
      </c>
    </row>
    <row r="39" spans="1:269" ht="16" x14ac:dyDescent="0.2">
      <c r="A39" s="222">
        <v>43344</v>
      </c>
      <c r="B39" s="159">
        <v>2018</v>
      </c>
      <c r="C39" s="146" t="s">
        <v>32</v>
      </c>
      <c r="D39" s="159">
        <v>275</v>
      </c>
      <c r="E39" s="159">
        <v>14</v>
      </c>
      <c r="G39" s="159">
        <v>14</v>
      </c>
      <c r="J39" s="157">
        <v>287</v>
      </c>
      <c r="K39" s="157">
        <v>1745.19</v>
      </c>
      <c r="M39" s="157">
        <v>0</v>
      </c>
      <c r="N39" s="157">
        <v>36</v>
      </c>
      <c r="O39" s="157">
        <v>24</v>
      </c>
      <c r="P39" s="157">
        <v>385</v>
      </c>
      <c r="R39" s="162">
        <f t="shared" si="4"/>
        <v>2477.19</v>
      </c>
      <c r="S39" s="51">
        <f t="shared" si="5"/>
        <v>0.84458196585647449</v>
      </c>
      <c r="T39" s="51">
        <f t="shared" si="6"/>
        <v>1.4532595400433555E-2</v>
      </c>
      <c r="U39" s="51">
        <f t="shared" si="7"/>
        <v>0.15541803414352554</v>
      </c>
      <c r="V39" s="147"/>
      <c r="Y39" s="157">
        <f t="shared" si="8"/>
        <v>9.0079636363636357</v>
      </c>
      <c r="Z39" s="158">
        <f t="shared" si="9"/>
        <v>176.94214285714287</v>
      </c>
      <c r="AA39" s="147"/>
      <c r="AB39" s="146" t="s">
        <v>123</v>
      </c>
    </row>
    <row r="40" spans="1:269" ht="16" x14ac:dyDescent="0.2">
      <c r="A40" s="222">
        <v>43351</v>
      </c>
      <c r="B40" s="159">
        <v>2018</v>
      </c>
      <c r="C40" s="146" t="s">
        <v>32</v>
      </c>
      <c r="D40" s="159">
        <v>248</v>
      </c>
      <c r="E40" s="159">
        <v>15</v>
      </c>
      <c r="G40" s="159">
        <v>15</v>
      </c>
      <c r="J40" s="157">
        <v>72</v>
      </c>
      <c r="K40" s="157">
        <v>1388.52</v>
      </c>
      <c r="M40" s="157">
        <v>0</v>
      </c>
      <c r="N40" s="157">
        <v>36</v>
      </c>
      <c r="O40" s="157">
        <v>30</v>
      </c>
      <c r="P40" s="157">
        <v>190</v>
      </c>
      <c r="R40" s="162">
        <f t="shared" si="4"/>
        <v>1716.52</v>
      </c>
      <c r="S40" s="51">
        <f t="shared" si="5"/>
        <v>0.88931093141938344</v>
      </c>
      <c r="T40" s="51">
        <f t="shared" si="6"/>
        <v>2.0972665625801041E-2</v>
      </c>
      <c r="U40" s="51">
        <f t="shared" si="7"/>
        <v>0.1106890685806166</v>
      </c>
      <c r="V40" s="147"/>
      <c r="Y40" s="157">
        <f t="shared" si="8"/>
        <v>6.9214516129032253</v>
      </c>
      <c r="Z40" s="158">
        <f t="shared" si="9"/>
        <v>114.43466666666667</v>
      </c>
      <c r="AA40" s="147" t="s">
        <v>35</v>
      </c>
      <c r="AB40" s="146" t="s">
        <v>123</v>
      </c>
    </row>
    <row r="41" spans="1:269" ht="16" x14ac:dyDescent="0.2">
      <c r="A41" s="222">
        <v>43358</v>
      </c>
      <c r="B41" s="159">
        <v>2018</v>
      </c>
      <c r="C41" s="146" t="s">
        <v>32</v>
      </c>
      <c r="D41" s="159">
        <v>159</v>
      </c>
      <c r="E41" s="159">
        <v>8</v>
      </c>
      <c r="G41" s="159">
        <v>8</v>
      </c>
      <c r="J41" s="157">
        <v>0</v>
      </c>
      <c r="K41" s="157">
        <v>886.09</v>
      </c>
      <c r="M41" s="157">
        <v>0</v>
      </c>
      <c r="N41" s="157">
        <v>84</v>
      </c>
      <c r="O41" s="157">
        <v>14</v>
      </c>
      <c r="P41" s="157">
        <v>448.5</v>
      </c>
      <c r="R41" s="162">
        <f t="shared" si="4"/>
        <v>1432.5900000000001</v>
      </c>
      <c r="S41" s="51">
        <f t="shared" si="5"/>
        <v>0.68693066404204972</v>
      </c>
      <c r="T41" s="51">
        <f t="shared" si="6"/>
        <v>5.8635059577408742E-2</v>
      </c>
      <c r="U41" s="51">
        <f t="shared" si="7"/>
        <v>0.31306933595795028</v>
      </c>
      <c r="V41" s="147"/>
      <c r="Y41" s="157">
        <f t="shared" si="8"/>
        <v>9.0100000000000016</v>
      </c>
      <c r="Z41" s="158">
        <f t="shared" si="9"/>
        <v>179.07375000000002</v>
      </c>
      <c r="AA41" s="147" t="s">
        <v>56</v>
      </c>
      <c r="AB41" s="146" t="s">
        <v>123</v>
      </c>
    </row>
    <row r="42" spans="1:269" ht="16" x14ac:dyDescent="0.2">
      <c r="A42" s="222">
        <v>43365</v>
      </c>
      <c r="B42" s="159">
        <v>2018</v>
      </c>
      <c r="C42" s="146" t="s">
        <v>32</v>
      </c>
      <c r="D42" s="159">
        <v>127</v>
      </c>
      <c r="E42" s="159">
        <v>10</v>
      </c>
      <c r="G42" s="159">
        <v>10</v>
      </c>
      <c r="J42" s="157">
        <v>350</v>
      </c>
      <c r="K42" s="157">
        <v>844.6</v>
      </c>
      <c r="M42" s="157">
        <v>0</v>
      </c>
      <c r="N42" s="157">
        <v>111.75</v>
      </c>
      <c r="O42" s="157">
        <v>8</v>
      </c>
      <c r="P42" s="157">
        <v>76.5</v>
      </c>
      <c r="R42" s="162">
        <f t="shared" si="4"/>
        <v>1390.85</v>
      </c>
      <c r="S42" s="51">
        <f t="shared" si="5"/>
        <v>0.94499766329942125</v>
      </c>
      <c r="T42" s="51">
        <f t="shared" si="6"/>
        <v>8.0346550670453321E-2</v>
      </c>
      <c r="U42" s="51">
        <f t="shared" si="7"/>
        <v>5.5002336700578788E-2</v>
      </c>
      <c r="V42" s="147"/>
      <c r="Y42" s="157">
        <f t="shared" si="8"/>
        <v>10.951574803149606</v>
      </c>
      <c r="Z42" s="158">
        <f t="shared" si="9"/>
        <v>139.08499999999998</v>
      </c>
      <c r="AA42" s="147" t="s">
        <v>55</v>
      </c>
      <c r="AB42" s="146" t="s">
        <v>123</v>
      </c>
    </row>
    <row r="43" spans="1:269" ht="16" x14ac:dyDescent="0.2">
      <c r="A43" s="222">
        <v>43617</v>
      </c>
      <c r="B43" s="159">
        <v>2019</v>
      </c>
      <c r="C43" s="145" t="s">
        <v>29</v>
      </c>
      <c r="D43" s="159">
        <v>286</v>
      </c>
      <c r="E43" s="159">
        <v>13</v>
      </c>
      <c r="H43" s="157">
        <v>53</v>
      </c>
      <c r="I43" s="157"/>
      <c r="J43" s="157">
        <v>408</v>
      </c>
      <c r="K43" s="157">
        <v>986.5</v>
      </c>
      <c r="L43" s="157"/>
      <c r="M43" s="157">
        <v>0</v>
      </c>
      <c r="N43" s="157">
        <v>0</v>
      </c>
      <c r="O43" s="157">
        <v>58</v>
      </c>
      <c r="P43" s="157">
        <v>1175</v>
      </c>
      <c r="Q43" s="157"/>
      <c r="R43" s="162">
        <v>2681</v>
      </c>
      <c r="S43" s="51">
        <f t="shared" si="5"/>
        <v>0.54177545691906004</v>
      </c>
      <c r="T43" s="51">
        <f t="shared" si="6"/>
        <v>0</v>
      </c>
      <c r="U43" s="51">
        <f>(H43+P43)/R43</f>
        <v>0.45803804550540844</v>
      </c>
      <c r="Y43" s="157">
        <f t="shared" si="8"/>
        <v>9.3741258741258733</v>
      </c>
      <c r="Z43" s="158">
        <f t="shared" si="9"/>
        <v>206.23076923076923</v>
      </c>
      <c r="AA43" s="147" t="s">
        <v>48</v>
      </c>
      <c r="AB43" s="146" t="s">
        <v>123</v>
      </c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  <c r="CQ43" s="147"/>
      <c r="CR43" s="147"/>
      <c r="CS43" s="147"/>
      <c r="CT43" s="147"/>
      <c r="CU43" s="147"/>
      <c r="CV43" s="147"/>
      <c r="CW43" s="147"/>
      <c r="CX43" s="147"/>
      <c r="CY43" s="147"/>
      <c r="CZ43" s="147"/>
      <c r="DA43" s="147"/>
      <c r="DB43" s="147"/>
      <c r="DC43" s="147"/>
      <c r="DD43" s="147"/>
      <c r="DE43" s="147"/>
      <c r="DF43" s="147"/>
      <c r="DG43" s="147"/>
      <c r="DH43" s="147"/>
      <c r="DI43" s="147"/>
      <c r="DJ43" s="147"/>
      <c r="DK43" s="147"/>
      <c r="DL43" s="147"/>
      <c r="DM43" s="147"/>
      <c r="DN43" s="147"/>
      <c r="DO43" s="147"/>
      <c r="DP43" s="147"/>
      <c r="DQ43" s="147"/>
      <c r="DR43" s="147"/>
      <c r="DS43" s="147"/>
      <c r="DT43" s="147"/>
      <c r="DU43" s="147"/>
      <c r="DV43" s="147"/>
      <c r="DW43" s="147"/>
      <c r="DX43" s="147"/>
      <c r="DY43" s="147"/>
      <c r="DZ43" s="147"/>
      <c r="EA43" s="147"/>
      <c r="EB43" s="147"/>
      <c r="EC43" s="147"/>
      <c r="ED43" s="147"/>
      <c r="EE43" s="147"/>
      <c r="EF43" s="147"/>
      <c r="EG43" s="147"/>
      <c r="EH43" s="147"/>
      <c r="EI43" s="147"/>
      <c r="EJ43" s="147"/>
      <c r="EK43" s="147"/>
      <c r="EL43" s="147"/>
      <c r="EM43" s="147"/>
      <c r="EN43" s="147"/>
      <c r="EO43" s="147"/>
      <c r="EP43" s="147"/>
      <c r="EQ43" s="147"/>
      <c r="ER43" s="147"/>
      <c r="ES43" s="147"/>
      <c r="ET43" s="147"/>
      <c r="EU43" s="147"/>
      <c r="EV43" s="147"/>
      <c r="EW43" s="147"/>
      <c r="EX43" s="147"/>
      <c r="EY43" s="147"/>
      <c r="EZ43" s="147"/>
      <c r="FA43" s="147"/>
      <c r="FB43" s="147"/>
      <c r="FC43" s="147"/>
      <c r="FD43" s="147"/>
      <c r="FE43" s="147"/>
      <c r="FF43" s="147"/>
      <c r="FG43" s="147"/>
      <c r="FH43" s="147"/>
      <c r="FI43" s="147"/>
      <c r="FJ43" s="147"/>
      <c r="FK43" s="147"/>
      <c r="FL43" s="147"/>
      <c r="FM43" s="147"/>
      <c r="FN43" s="147"/>
      <c r="FO43" s="147"/>
      <c r="FP43" s="147"/>
      <c r="FQ43" s="147"/>
      <c r="FR43" s="147"/>
      <c r="FS43" s="147"/>
      <c r="FT43" s="147"/>
      <c r="FU43" s="147"/>
      <c r="FV43" s="147"/>
      <c r="FW43" s="147"/>
      <c r="FX43" s="147"/>
      <c r="FY43" s="147"/>
      <c r="FZ43" s="147"/>
      <c r="GA43" s="147"/>
      <c r="GB43" s="147"/>
      <c r="GC43" s="147"/>
      <c r="GD43" s="147"/>
      <c r="GE43" s="147"/>
      <c r="GF43" s="147"/>
      <c r="GG43" s="147"/>
      <c r="GH43" s="147"/>
      <c r="GI43" s="147"/>
      <c r="GJ43" s="147"/>
      <c r="GK43" s="147"/>
      <c r="GL43" s="147"/>
      <c r="GM43" s="147"/>
      <c r="GN43" s="147"/>
      <c r="GO43" s="147"/>
      <c r="GP43" s="147"/>
      <c r="GQ43" s="147"/>
      <c r="GR43" s="147"/>
      <c r="GS43" s="147"/>
      <c r="GT43" s="147"/>
      <c r="GU43" s="147"/>
      <c r="GV43" s="147"/>
      <c r="GW43" s="147"/>
      <c r="GX43" s="147"/>
      <c r="GY43" s="147"/>
      <c r="GZ43" s="147"/>
      <c r="HA43" s="147"/>
      <c r="HB43" s="147"/>
      <c r="HC43" s="147"/>
      <c r="HD43" s="147"/>
      <c r="HE43" s="147"/>
      <c r="HF43" s="147"/>
      <c r="HG43" s="147"/>
      <c r="HH43" s="147"/>
      <c r="HI43" s="147"/>
      <c r="HJ43" s="147"/>
      <c r="HK43" s="147"/>
      <c r="HL43" s="147"/>
      <c r="HM43" s="147"/>
      <c r="HN43" s="147"/>
      <c r="HO43" s="147"/>
      <c r="HP43" s="147"/>
      <c r="HQ43" s="147"/>
      <c r="HR43" s="147"/>
      <c r="HS43" s="147"/>
      <c r="HT43" s="147"/>
      <c r="HU43" s="147"/>
      <c r="HV43" s="147"/>
      <c r="HW43" s="147"/>
      <c r="HX43" s="147"/>
      <c r="HY43" s="147"/>
      <c r="HZ43" s="147"/>
      <c r="IA43" s="147"/>
      <c r="IB43" s="147"/>
      <c r="IC43" s="147"/>
      <c r="ID43" s="147"/>
      <c r="IE43" s="147"/>
      <c r="IF43" s="147"/>
      <c r="IG43" s="147"/>
      <c r="IH43" s="147"/>
      <c r="II43" s="147"/>
      <c r="IJ43" s="147"/>
      <c r="IK43" s="147"/>
      <c r="IL43" s="147"/>
      <c r="IM43" s="147"/>
      <c r="IN43" s="147"/>
      <c r="IO43" s="147"/>
      <c r="IP43" s="147"/>
      <c r="IQ43" s="147"/>
      <c r="IR43" s="147"/>
      <c r="IS43" s="147"/>
      <c r="IT43" s="147"/>
      <c r="IU43" s="147"/>
      <c r="IV43" s="147"/>
      <c r="IW43" s="147"/>
      <c r="IX43" s="147"/>
      <c r="IY43" s="147"/>
      <c r="IZ43" s="147"/>
      <c r="JA43" s="147"/>
      <c r="JB43" s="147"/>
      <c r="JC43" s="147"/>
      <c r="JD43" s="147"/>
      <c r="JE43" s="147"/>
      <c r="JF43" s="147"/>
      <c r="JG43" s="147"/>
      <c r="JH43" s="147"/>
      <c r="JI43" s="147"/>
    </row>
    <row r="44" spans="1:269" ht="16" x14ac:dyDescent="0.2">
      <c r="A44" s="222">
        <v>43624</v>
      </c>
      <c r="B44" s="159">
        <v>2019</v>
      </c>
      <c r="C44" s="145" t="s">
        <v>29</v>
      </c>
      <c r="D44" s="154">
        <v>239</v>
      </c>
      <c r="E44" s="154">
        <v>10</v>
      </c>
      <c r="H44" s="157">
        <v>0</v>
      </c>
      <c r="I44" s="157"/>
      <c r="J44" s="157">
        <v>512</v>
      </c>
      <c r="K44" s="157">
        <v>960</v>
      </c>
      <c r="L44" s="157"/>
      <c r="M44" s="157">
        <v>0</v>
      </c>
      <c r="N44" s="157">
        <v>0</v>
      </c>
      <c r="O44" s="157">
        <v>70</v>
      </c>
      <c r="P44" s="157">
        <v>541</v>
      </c>
      <c r="Q44" s="157"/>
      <c r="R44" s="162">
        <v>2083</v>
      </c>
      <c r="S44" s="51">
        <f t="shared" si="5"/>
        <v>0.74027844455112823</v>
      </c>
      <c r="T44" s="51">
        <f t="shared" si="6"/>
        <v>0</v>
      </c>
      <c r="U44" s="51">
        <f>P44/R44</f>
        <v>0.25972155544887182</v>
      </c>
      <c r="Y44" s="157">
        <f t="shared" si="8"/>
        <v>8.7154811715481166</v>
      </c>
      <c r="Z44" s="158">
        <f t="shared" si="9"/>
        <v>208.3</v>
      </c>
      <c r="AA44" s="147" t="s">
        <v>47</v>
      </c>
      <c r="AB44" s="146" t="s">
        <v>123</v>
      </c>
      <c r="AC44" s="147"/>
      <c r="AD44" s="147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  <c r="CQ44" s="147"/>
      <c r="CR44" s="147"/>
      <c r="CS44" s="147"/>
      <c r="CT44" s="147"/>
      <c r="CU44" s="147"/>
      <c r="CV44" s="147"/>
      <c r="CW44" s="147"/>
      <c r="CX44" s="147"/>
      <c r="CY44" s="147"/>
      <c r="CZ44" s="147"/>
      <c r="DA44" s="147"/>
      <c r="DB44" s="147"/>
      <c r="DC44" s="147"/>
      <c r="DD44" s="147"/>
      <c r="DE44" s="147"/>
      <c r="DF44" s="147"/>
      <c r="DG44" s="147"/>
      <c r="DH44" s="147"/>
      <c r="DI44" s="147"/>
      <c r="DJ44" s="147"/>
      <c r="DK44" s="147"/>
      <c r="DL44" s="147"/>
      <c r="DM44" s="147"/>
      <c r="DN44" s="147"/>
      <c r="DO44" s="147"/>
      <c r="DP44" s="147"/>
      <c r="DQ44" s="147"/>
      <c r="DR44" s="147"/>
      <c r="DS44" s="147"/>
      <c r="DT44" s="147"/>
      <c r="DU44" s="147"/>
      <c r="DV44" s="147"/>
      <c r="DW44" s="147"/>
      <c r="DX44" s="147"/>
      <c r="DY44" s="147"/>
      <c r="DZ44" s="147"/>
      <c r="EA44" s="147"/>
      <c r="EB44" s="147"/>
      <c r="EC44" s="147"/>
      <c r="ED44" s="147"/>
      <c r="EE44" s="147"/>
      <c r="EF44" s="147"/>
      <c r="EG44" s="147"/>
      <c r="EH44" s="147"/>
      <c r="EI44" s="147"/>
      <c r="EJ44" s="147"/>
      <c r="EK44" s="147"/>
      <c r="EL44" s="147"/>
      <c r="EM44" s="147"/>
      <c r="EN44" s="147"/>
      <c r="EO44" s="147"/>
      <c r="EP44" s="147"/>
      <c r="EQ44" s="147"/>
      <c r="ER44" s="147"/>
      <c r="ES44" s="147"/>
      <c r="ET44" s="147"/>
      <c r="EU44" s="147"/>
      <c r="EV44" s="147"/>
      <c r="EW44" s="147"/>
      <c r="EX44" s="147"/>
      <c r="EY44" s="147"/>
      <c r="EZ44" s="147"/>
      <c r="FA44" s="147"/>
      <c r="FB44" s="147"/>
      <c r="FC44" s="147"/>
      <c r="FD44" s="147"/>
      <c r="FE44" s="147"/>
      <c r="FF44" s="147"/>
      <c r="FG44" s="147"/>
      <c r="FH44" s="147"/>
      <c r="FI44" s="147"/>
      <c r="FJ44" s="147"/>
      <c r="FK44" s="147"/>
      <c r="FL44" s="147"/>
      <c r="FM44" s="147"/>
      <c r="FN44" s="147"/>
      <c r="FO44" s="147"/>
      <c r="FP44" s="147"/>
      <c r="FQ44" s="147"/>
      <c r="FR44" s="147"/>
      <c r="FS44" s="147"/>
      <c r="FT44" s="147"/>
      <c r="FU44" s="147"/>
      <c r="FV44" s="147"/>
      <c r="FW44" s="147"/>
      <c r="FX44" s="147"/>
      <c r="FY44" s="147"/>
      <c r="FZ44" s="147"/>
      <c r="GA44" s="147"/>
      <c r="GB44" s="147"/>
      <c r="GC44" s="147"/>
      <c r="GD44" s="147"/>
      <c r="GE44" s="147"/>
      <c r="GF44" s="147"/>
      <c r="GG44" s="147"/>
      <c r="GH44" s="147"/>
      <c r="GI44" s="147"/>
      <c r="GJ44" s="147"/>
      <c r="GK44" s="147"/>
      <c r="GL44" s="147"/>
      <c r="GM44" s="147"/>
      <c r="GN44" s="147"/>
      <c r="GO44" s="147"/>
      <c r="GP44" s="147"/>
      <c r="GQ44" s="147"/>
      <c r="GR44" s="147"/>
      <c r="GS44" s="147"/>
      <c r="GT44" s="147"/>
      <c r="GU44" s="147"/>
      <c r="GV44" s="147"/>
      <c r="GW44" s="147"/>
      <c r="GX44" s="147"/>
      <c r="GY44" s="147"/>
      <c r="GZ44" s="147"/>
      <c r="HA44" s="147"/>
      <c r="HB44" s="147"/>
      <c r="HC44" s="147"/>
      <c r="HD44" s="147"/>
      <c r="HE44" s="147"/>
      <c r="HF44" s="147"/>
      <c r="HG44" s="147"/>
      <c r="HH44" s="147"/>
      <c r="HI44" s="147"/>
      <c r="HJ44" s="147"/>
      <c r="HK44" s="147"/>
      <c r="HL44" s="147"/>
      <c r="HM44" s="147"/>
      <c r="HN44" s="147"/>
      <c r="HO44" s="147"/>
      <c r="HP44" s="147"/>
      <c r="HQ44" s="147"/>
      <c r="HR44" s="147"/>
      <c r="HS44" s="147"/>
      <c r="HT44" s="147"/>
      <c r="HU44" s="147"/>
      <c r="HV44" s="147"/>
      <c r="HW44" s="147"/>
      <c r="HX44" s="147"/>
      <c r="HY44" s="147"/>
      <c r="HZ44" s="147"/>
      <c r="IA44" s="147"/>
      <c r="IB44" s="147"/>
      <c r="IC44" s="147"/>
      <c r="ID44" s="147"/>
      <c r="IE44" s="147"/>
      <c r="IF44" s="147"/>
      <c r="IG44" s="147"/>
      <c r="IH44" s="147"/>
      <c r="II44" s="147"/>
      <c r="IJ44" s="147"/>
      <c r="IK44" s="147"/>
      <c r="IL44" s="147"/>
      <c r="IM44" s="147"/>
      <c r="IN44" s="147"/>
      <c r="IO44" s="147"/>
      <c r="IP44" s="147"/>
      <c r="IQ44" s="147"/>
      <c r="IR44" s="147"/>
      <c r="IS44" s="147"/>
      <c r="IT44" s="147"/>
      <c r="IU44" s="147"/>
      <c r="IV44" s="147"/>
      <c r="IW44" s="147"/>
      <c r="IX44" s="147"/>
      <c r="IY44" s="147"/>
      <c r="IZ44" s="147"/>
      <c r="JA44" s="147"/>
      <c r="JB44" s="147"/>
      <c r="JC44" s="147"/>
      <c r="JD44" s="147"/>
      <c r="JE44" s="147"/>
      <c r="JF44" s="147"/>
      <c r="JG44" s="147"/>
      <c r="JH44" s="147"/>
      <c r="JI44" s="147"/>
    </row>
    <row r="45" spans="1:269" ht="16" x14ac:dyDescent="0.2">
      <c r="A45" s="222">
        <v>43631</v>
      </c>
      <c r="B45" s="159">
        <v>2019</v>
      </c>
      <c r="C45" s="145" t="s">
        <v>29</v>
      </c>
      <c r="D45" s="154">
        <v>223</v>
      </c>
      <c r="E45" s="154">
        <v>11</v>
      </c>
      <c r="H45" s="157">
        <v>37</v>
      </c>
      <c r="I45" s="157"/>
      <c r="J45" s="157">
        <v>408</v>
      </c>
      <c r="K45" s="157">
        <v>899.5</v>
      </c>
      <c r="L45" s="157"/>
      <c r="M45" s="157">
        <v>0</v>
      </c>
      <c r="N45" s="157">
        <v>0</v>
      </c>
      <c r="O45" s="157">
        <v>0</v>
      </c>
      <c r="P45" s="157">
        <v>501</v>
      </c>
      <c r="Q45" s="157"/>
      <c r="R45" s="162">
        <v>1845.5</v>
      </c>
      <c r="S45" s="51">
        <f t="shared" si="5"/>
        <v>0.70848008669737195</v>
      </c>
      <c r="T45" s="51">
        <f t="shared" si="6"/>
        <v>0</v>
      </c>
      <c r="U45" s="51">
        <f>(H45+P45)/R45</f>
        <v>0.291519913302628</v>
      </c>
      <c r="Y45" s="157">
        <f t="shared" si="8"/>
        <v>8.2757847533632294</v>
      </c>
      <c r="Z45" s="158">
        <f t="shared" si="9"/>
        <v>167.77272727272728</v>
      </c>
      <c r="AA45" s="147" t="s">
        <v>46</v>
      </c>
      <c r="AB45" s="146" t="s">
        <v>123</v>
      </c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  <c r="CQ45" s="147"/>
      <c r="CR45" s="147"/>
      <c r="CS45" s="147"/>
      <c r="CT45" s="147"/>
      <c r="CU45" s="147"/>
      <c r="CV45" s="147"/>
      <c r="CW45" s="147"/>
      <c r="CX45" s="147"/>
      <c r="CY45" s="147"/>
      <c r="CZ45" s="147"/>
      <c r="DA45" s="147"/>
      <c r="DB45" s="147"/>
      <c r="DC45" s="147"/>
      <c r="DD45" s="147"/>
      <c r="DE45" s="147"/>
      <c r="DF45" s="147"/>
      <c r="DG45" s="147"/>
      <c r="DH45" s="147"/>
      <c r="DI45" s="147"/>
      <c r="DJ45" s="147"/>
      <c r="DK45" s="147"/>
      <c r="DL45" s="147"/>
      <c r="DM45" s="147"/>
      <c r="DN45" s="147"/>
      <c r="DO45" s="147"/>
      <c r="DP45" s="147"/>
      <c r="DQ45" s="147"/>
      <c r="DR45" s="147"/>
      <c r="DS45" s="147"/>
      <c r="DT45" s="147"/>
      <c r="DU45" s="147"/>
      <c r="DV45" s="147"/>
      <c r="DW45" s="147"/>
      <c r="DX45" s="147"/>
      <c r="DY45" s="147"/>
      <c r="DZ45" s="147"/>
      <c r="EA45" s="147"/>
      <c r="EB45" s="147"/>
      <c r="EC45" s="147"/>
      <c r="ED45" s="147"/>
      <c r="EE45" s="147"/>
      <c r="EF45" s="147"/>
      <c r="EG45" s="147"/>
      <c r="EH45" s="147"/>
      <c r="EI45" s="147"/>
      <c r="EJ45" s="147"/>
      <c r="EK45" s="147"/>
      <c r="EL45" s="147"/>
      <c r="EM45" s="147"/>
      <c r="EN45" s="147"/>
      <c r="EO45" s="147"/>
      <c r="EP45" s="147"/>
      <c r="EQ45" s="147"/>
      <c r="ER45" s="147"/>
      <c r="ES45" s="147"/>
      <c r="ET45" s="147"/>
      <c r="EU45" s="147"/>
      <c r="EV45" s="147"/>
      <c r="EW45" s="147"/>
      <c r="EX45" s="147"/>
      <c r="EY45" s="147"/>
      <c r="EZ45" s="147"/>
      <c r="FA45" s="147"/>
      <c r="FB45" s="147"/>
      <c r="FC45" s="147"/>
      <c r="FD45" s="147"/>
      <c r="FE45" s="147"/>
      <c r="FF45" s="147"/>
      <c r="FG45" s="147"/>
      <c r="FH45" s="147"/>
      <c r="FI45" s="147"/>
      <c r="FJ45" s="147"/>
      <c r="FK45" s="147"/>
      <c r="FL45" s="147"/>
      <c r="FM45" s="147"/>
      <c r="FN45" s="147"/>
      <c r="FO45" s="147"/>
      <c r="FP45" s="147"/>
      <c r="FQ45" s="147"/>
      <c r="FR45" s="147"/>
      <c r="FS45" s="147"/>
      <c r="FT45" s="147"/>
      <c r="FU45" s="147"/>
      <c r="FV45" s="147"/>
      <c r="FW45" s="147"/>
      <c r="FX45" s="147"/>
      <c r="FY45" s="147"/>
      <c r="FZ45" s="147"/>
      <c r="GA45" s="147"/>
      <c r="GB45" s="147"/>
      <c r="GC45" s="147"/>
      <c r="GD45" s="147"/>
      <c r="GE45" s="147"/>
      <c r="GF45" s="147"/>
      <c r="GG45" s="147"/>
      <c r="GH45" s="147"/>
      <c r="GI45" s="147"/>
      <c r="GJ45" s="147"/>
      <c r="GK45" s="147"/>
      <c r="GL45" s="147"/>
      <c r="GM45" s="147"/>
      <c r="GN45" s="147"/>
      <c r="GO45" s="147"/>
      <c r="GP45" s="147"/>
      <c r="GQ45" s="147"/>
      <c r="GR45" s="147"/>
      <c r="GS45" s="147"/>
      <c r="GT45" s="147"/>
      <c r="GU45" s="147"/>
      <c r="GV45" s="147"/>
      <c r="GW45" s="147"/>
      <c r="GX45" s="147"/>
      <c r="GY45" s="147"/>
      <c r="GZ45" s="147"/>
      <c r="HA45" s="147"/>
      <c r="HB45" s="147"/>
      <c r="HC45" s="147"/>
      <c r="HD45" s="147"/>
      <c r="HE45" s="147"/>
      <c r="HF45" s="147"/>
      <c r="HG45" s="147"/>
      <c r="HH45" s="147"/>
      <c r="HI45" s="147"/>
      <c r="HJ45" s="147"/>
      <c r="HK45" s="147"/>
      <c r="HL45" s="147"/>
      <c r="HM45" s="147"/>
      <c r="HN45" s="147"/>
      <c r="HO45" s="147"/>
      <c r="HP45" s="147"/>
      <c r="HQ45" s="147"/>
      <c r="HR45" s="147"/>
      <c r="HS45" s="147"/>
      <c r="HT45" s="147"/>
      <c r="HU45" s="147"/>
      <c r="HV45" s="147"/>
      <c r="HW45" s="147"/>
      <c r="HX45" s="147"/>
      <c r="HY45" s="147"/>
      <c r="HZ45" s="147"/>
      <c r="IA45" s="147"/>
      <c r="IB45" s="147"/>
      <c r="IC45" s="147"/>
      <c r="ID45" s="147"/>
      <c r="IE45" s="147"/>
      <c r="IF45" s="147"/>
      <c r="IG45" s="147"/>
      <c r="IH45" s="147"/>
      <c r="II45" s="147"/>
      <c r="IJ45" s="147"/>
      <c r="IK45" s="147"/>
      <c r="IL45" s="147"/>
      <c r="IM45" s="147"/>
      <c r="IN45" s="147"/>
      <c r="IO45" s="147"/>
      <c r="IP45" s="147"/>
      <c r="IQ45" s="147"/>
      <c r="IR45" s="147"/>
      <c r="IS45" s="147"/>
      <c r="IT45" s="147"/>
      <c r="IU45" s="147"/>
      <c r="IV45" s="147"/>
      <c r="IW45" s="147"/>
      <c r="IX45" s="147"/>
      <c r="IY45" s="147"/>
      <c r="IZ45" s="147"/>
      <c r="JA45" s="147"/>
      <c r="JB45" s="147"/>
      <c r="JC45" s="147"/>
      <c r="JD45" s="147"/>
      <c r="JE45" s="147"/>
      <c r="JF45" s="147"/>
      <c r="JG45" s="147"/>
      <c r="JH45" s="147"/>
      <c r="JI45" s="147"/>
    </row>
    <row r="46" spans="1:269" ht="16" x14ac:dyDescent="0.2">
      <c r="A46" s="222">
        <v>43638</v>
      </c>
      <c r="B46" s="159">
        <v>2019</v>
      </c>
      <c r="C46" s="145" t="s">
        <v>29</v>
      </c>
      <c r="D46" s="154">
        <v>186</v>
      </c>
      <c r="E46" s="154">
        <v>9</v>
      </c>
      <c r="H46" s="166">
        <v>42</v>
      </c>
      <c r="I46" s="166"/>
      <c r="J46" s="157">
        <v>401</v>
      </c>
      <c r="K46" s="157">
        <v>681</v>
      </c>
      <c r="L46" s="157"/>
      <c r="M46" s="157">
        <v>0</v>
      </c>
      <c r="N46" s="157">
        <v>4</v>
      </c>
      <c r="O46" s="157">
        <v>30</v>
      </c>
      <c r="P46" s="157">
        <v>467</v>
      </c>
      <c r="Q46" s="157"/>
      <c r="R46" s="162">
        <v>1625</v>
      </c>
      <c r="S46" s="51">
        <f t="shared" si="5"/>
        <v>0.6867692307692308</v>
      </c>
      <c r="T46" s="51">
        <f t="shared" si="6"/>
        <v>2.4615384615384616E-3</v>
      </c>
      <c r="U46" s="51">
        <f>(H46+P46)/R46</f>
        <v>0.31323076923076926</v>
      </c>
      <c r="Y46" s="157">
        <f t="shared" si="8"/>
        <v>8.736559139784946</v>
      </c>
      <c r="Z46" s="158">
        <f t="shared" si="9"/>
        <v>180.55555555555554</v>
      </c>
      <c r="AA46" s="147" t="s">
        <v>45</v>
      </c>
      <c r="AB46" s="146" t="s">
        <v>123</v>
      </c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  <c r="CQ46" s="147"/>
      <c r="CR46" s="147"/>
      <c r="CS46" s="147"/>
      <c r="CT46" s="147"/>
      <c r="CU46" s="147"/>
      <c r="CV46" s="147"/>
      <c r="CW46" s="147"/>
      <c r="CX46" s="147"/>
      <c r="CY46" s="147"/>
      <c r="CZ46" s="147"/>
      <c r="DA46" s="147"/>
      <c r="DB46" s="147"/>
      <c r="DC46" s="147"/>
      <c r="DD46" s="147"/>
      <c r="DE46" s="147"/>
      <c r="DF46" s="147"/>
      <c r="DG46" s="147"/>
      <c r="DH46" s="147"/>
      <c r="DI46" s="147"/>
      <c r="DJ46" s="147"/>
      <c r="DK46" s="147"/>
      <c r="DL46" s="147"/>
      <c r="DM46" s="147"/>
      <c r="DN46" s="147"/>
      <c r="DO46" s="147"/>
      <c r="DP46" s="147"/>
      <c r="DQ46" s="147"/>
      <c r="DR46" s="147"/>
      <c r="DS46" s="147"/>
      <c r="DT46" s="147"/>
      <c r="DU46" s="147"/>
      <c r="DV46" s="147"/>
      <c r="DW46" s="147"/>
      <c r="DX46" s="147"/>
      <c r="DY46" s="147"/>
      <c r="DZ46" s="147"/>
      <c r="EA46" s="147"/>
      <c r="EB46" s="147"/>
      <c r="EC46" s="147"/>
      <c r="ED46" s="147"/>
      <c r="EE46" s="147"/>
      <c r="EF46" s="147"/>
      <c r="EG46" s="147"/>
      <c r="EH46" s="147"/>
      <c r="EI46" s="147"/>
      <c r="EJ46" s="147"/>
      <c r="EK46" s="147"/>
      <c r="EL46" s="147"/>
      <c r="EM46" s="147"/>
      <c r="EN46" s="147"/>
      <c r="EO46" s="147"/>
      <c r="EP46" s="147"/>
      <c r="EQ46" s="147"/>
      <c r="ER46" s="147"/>
      <c r="ES46" s="147"/>
      <c r="ET46" s="147"/>
      <c r="EU46" s="147"/>
      <c r="EV46" s="147"/>
      <c r="EW46" s="147"/>
      <c r="EX46" s="147"/>
      <c r="EY46" s="147"/>
      <c r="EZ46" s="147"/>
      <c r="FA46" s="147"/>
      <c r="FB46" s="147"/>
      <c r="FC46" s="147"/>
      <c r="FD46" s="147"/>
      <c r="FE46" s="147"/>
      <c r="FF46" s="147"/>
      <c r="FG46" s="147"/>
      <c r="FH46" s="147"/>
      <c r="FI46" s="147"/>
      <c r="FJ46" s="147"/>
      <c r="FK46" s="147"/>
      <c r="FL46" s="147"/>
      <c r="FM46" s="147"/>
      <c r="FN46" s="147"/>
      <c r="FO46" s="147"/>
      <c r="FP46" s="147"/>
      <c r="FQ46" s="147"/>
      <c r="FR46" s="147"/>
      <c r="FS46" s="147"/>
      <c r="FT46" s="147"/>
      <c r="FU46" s="147"/>
      <c r="FV46" s="147"/>
      <c r="FW46" s="147"/>
      <c r="FX46" s="147"/>
      <c r="FY46" s="147"/>
      <c r="FZ46" s="147"/>
      <c r="GA46" s="147"/>
      <c r="GB46" s="147"/>
      <c r="GC46" s="147"/>
      <c r="GD46" s="147"/>
      <c r="GE46" s="147"/>
      <c r="GF46" s="147"/>
      <c r="GG46" s="147"/>
      <c r="GH46" s="147"/>
      <c r="GI46" s="147"/>
      <c r="GJ46" s="147"/>
      <c r="GK46" s="147"/>
      <c r="GL46" s="147"/>
      <c r="GM46" s="147"/>
      <c r="GN46" s="147"/>
      <c r="GO46" s="147"/>
      <c r="GP46" s="147"/>
      <c r="GQ46" s="147"/>
      <c r="GR46" s="147"/>
      <c r="GS46" s="147"/>
      <c r="GT46" s="147"/>
      <c r="GU46" s="147"/>
      <c r="GV46" s="147"/>
      <c r="GW46" s="147"/>
      <c r="GX46" s="147"/>
      <c r="GY46" s="147"/>
      <c r="GZ46" s="147"/>
      <c r="HA46" s="147"/>
      <c r="HB46" s="147"/>
      <c r="HC46" s="147"/>
      <c r="HD46" s="147"/>
      <c r="HE46" s="147"/>
      <c r="HF46" s="147"/>
      <c r="HG46" s="147"/>
      <c r="HH46" s="147"/>
      <c r="HI46" s="147"/>
      <c r="HJ46" s="147"/>
      <c r="HK46" s="147"/>
      <c r="HL46" s="147"/>
      <c r="HM46" s="147"/>
      <c r="HN46" s="147"/>
      <c r="HO46" s="147"/>
      <c r="HP46" s="147"/>
      <c r="HQ46" s="147"/>
      <c r="HR46" s="147"/>
      <c r="HS46" s="147"/>
      <c r="HT46" s="147"/>
      <c r="HU46" s="147"/>
      <c r="HV46" s="147"/>
      <c r="HW46" s="147"/>
      <c r="HX46" s="147"/>
      <c r="HY46" s="147"/>
      <c r="HZ46" s="147"/>
      <c r="IA46" s="147"/>
      <c r="IB46" s="147"/>
      <c r="IC46" s="147"/>
      <c r="ID46" s="147"/>
      <c r="IE46" s="147"/>
      <c r="IF46" s="147"/>
      <c r="IG46" s="147"/>
      <c r="IH46" s="147"/>
      <c r="II46" s="147"/>
      <c r="IJ46" s="147"/>
      <c r="IK46" s="147"/>
      <c r="IL46" s="147"/>
      <c r="IM46" s="147"/>
      <c r="IN46" s="147"/>
      <c r="IO46" s="147"/>
      <c r="IP46" s="147"/>
      <c r="IQ46" s="147"/>
      <c r="IR46" s="147"/>
      <c r="IS46" s="147"/>
      <c r="IT46" s="147"/>
      <c r="IU46" s="147"/>
      <c r="IV46" s="147"/>
      <c r="IW46" s="147"/>
      <c r="IX46" s="147"/>
      <c r="IY46" s="147"/>
      <c r="IZ46" s="147"/>
      <c r="JA46" s="147"/>
      <c r="JB46" s="147"/>
      <c r="JC46" s="147"/>
      <c r="JD46" s="147"/>
      <c r="JE46" s="147"/>
      <c r="JF46" s="147"/>
      <c r="JG46" s="147"/>
      <c r="JH46" s="147"/>
      <c r="JI46" s="147"/>
    </row>
    <row r="47" spans="1:269" ht="16" x14ac:dyDescent="0.2">
      <c r="A47" s="222">
        <v>43645</v>
      </c>
      <c r="B47" s="159">
        <v>2019</v>
      </c>
      <c r="C47" s="145" t="s">
        <v>29</v>
      </c>
      <c r="D47" s="154">
        <v>410</v>
      </c>
      <c r="E47" s="154">
        <v>13</v>
      </c>
      <c r="H47" s="157">
        <v>0</v>
      </c>
      <c r="I47" s="157"/>
      <c r="J47" s="157">
        <v>380</v>
      </c>
      <c r="K47" s="157">
        <v>1402.61</v>
      </c>
      <c r="L47" s="157"/>
      <c r="M47" s="157">
        <v>0</v>
      </c>
      <c r="N47" s="157">
        <v>36</v>
      </c>
      <c r="O47" s="157">
        <v>54</v>
      </c>
      <c r="P47" s="157">
        <v>770.5</v>
      </c>
      <c r="Q47" s="157"/>
      <c r="R47" s="162">
        <v>2643.11</v>
      </c>
      <c r="S47" s="51">
        <f t="shared" si="5"/>
        <v>0.70848735012920383</v>
      </c>
      <c r="T47" s="51">
        <f t="shared" si="6"/>
        <v>1.362031848844732E-2</v>
      </c>
      <c r="U47" s="51">
        <f>P47/R47</f>
        <v>0.29151264987079611</v>
      </c>
      <c r="Y47" s="157">
        <f t="shared" si="8"/>
        <v>6.446609756097561</v>
      </c>
      <c r="Z47" s="158">
        <f t="shared" si="9"/>
        <v>203.31615384615387</v>
      </c>
      <c r="AA47" s="147" t="s">
        <v>44</v>
      </c>
      <c r="AB47" s="146" t="s">
        <v>123</v>
      </c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  <c r="CQ47" s="147"/>
      <c r="CR47" s="147"/>
      <c r="CS47" s="147"/>
      <c r="CT47" s="147"/>
      <c r="CU47" s="147"/>
      <c r="CV47" s="147"/>
      <c r="CW47" s="147"/>
      <c r="CX47" s="147"/>
      <c r="CY47" s="147"/>
      <c r="CZ47" s="147"/>
      <c r="DA47" s="147"/>
      <c r="DB47" s="147"/>
      <c r="DC47" s="147"/>
      <c r="DD47" s="147"/>
      <c r="DE47" s="147"/>
      <c r="DF47" s="147"/>
      <c r="DG47" s="147"/>
      <c r="DH47" s="147"/>
      <c r="DI47" s="147"/>
      <c r="DJ47" s="147"/>
      <c r="DK47" s="147"/>
      <c r="DL47" s="147"/>
      <c r="DM47" s="147"/>
      <c r="DN47" s="147"/>
      <c r="DO47" s="147"/>
      <c r="DP47" s="147"/>
      <c r="DQ47" s="147"/>
      <c r="DR47" s="147"/>
      <c r="DS47" s="147"/>
      <c r="DT47" s="147"/>
      <c r="DU47" s="147"/>
      <c r="DV47" s="147"/>
      <c r="DW47" s="147"/>
      <c r="DX47" s="147"/>
      <c r="DY47" s="147"/>
      <c r="DZ47" s="147"/>
      <c r="EA47" s="147"/>
      <c r="EB47" s="147"/>
      <c r="EC47" s="147"/>
      <c r="ED47" s="147"/>
      <c r="EE47" s="147"/>
      <c r="EF47" s="147"/>
      <c r="EG47" s="147"/>
      <c r="EH47" s="147"/>
      <c r="EI47" s="147"/>
      <c r="EJ47" s="147"/>
      <c r="EK47" s="147"/>
      <c r="EL47" s="147"/>
      <c r="EM47" s="147"/>
      <c r="EN47" s="147"/>
      <c r="EO47" s="147"/>
      <c r="EP47" s="147"/>
      <c r="EQ47" s="147"/>
      <c r="ER47" s="147"/>
      <c r="ES47" s="147"/>
      <c r="ET47" s="147"/>
      <c r="EU47" s="147"/>
      <c r="EV47" s="147"/>
      <c r="EW47" s="147"/>
      <c r="EX47" s="147"/>
      <c r="EY47" s="147"/>
      <c r="EZ47" s="147"/>
      <c r="FA47" s="147"/>
      <c r="FB47" s="147"/>
      <c r="FC47" s="147"/>
      <c r="FD47" s="147"/>
      <c r="FE47" s="147"/>
      <c r="FF47" s="147"/>
      <c r="FG47" s="147"/>
      <c r="FH47" s="147"/>
      <c r="FI47" s="147"/>
      <c r="FJ47" s="147"/>
      <c r="FK47" s="147"/>
      <c r="FL47" s="147"/>
      <c r="FM47" s="147"/>
      <c r="FN47" s="147"/>
      <c r="FO47" s="147"/>
      <c r="FP47" s="147"/>
      <c r="FQ47" s="147"/>
      <c r="FR47" s="147"/>
      <c r="FS47" s="147"/>
      <c r="FT47" s="147"/>
      <c r="FU47" s="147"/>
      <c r="FV47" s="147"/>
      <c r="FW47" s="147"/>
      <c r="FX47" s="147"/>
      <c r="FY47" s="147"/>
      <c r="FZ47" s="147"/>
      <c r="GA47" s="147"/>
      <c r="GB47" s="147"/>
      <c r="GC47" s="147"/>
      <c r="GD47" s="147"/>
      <c r="GE47" s="147"/>
      <c r="GF47" s="147"/>
      <c r="GG47" s="147"/>
      <c r="GH47" s="147"/>
      <c r="GI47" s="147"/>
      <c r="GJ47" s="147"/>
      <c r="GK47" s="147"/>
      <c r="GL47" s="147"/>
      <c r="GM47" s="147"/>
      <c r="GN47" s="147"/>
      <c r="GO47" s="147"/>
      <c r="GP47" s="147"/>
      <c r="GQ47" s="147"/>
      <c r="GR47" s="147"/>
      <c r="GS47" s="147"/>
      <c r="GT47" s="147"/>
      <c r="GU47" s="147"/>
      <c r="GV47" s="147"/>
      <c r="GW47" s="147"/>
      <c r="GX47" s="147"/>
      <c r="GY47" s="147"/>
      <c r="GZ47" s="147"/>
      <c r="HA47" s="147"/>
      <c r="HB47" s="147"/>
      <c r="HC47" s="147"/>
      <c r="HD47" s="147"/>
      <c r="HE47" s="147"/>
      <c r="HF47" s="147"/>
      <c r="HG47" s="147"/>
      <c r="HH47" s="147"/>
      <c r="HI47" s="147"/>
      <c r="HJ47" s="147"/>
      <c r="HK47" s="147"/>
      <c r="HL47" s="147"/>
      <c r="HM47" s="147"/>
      <c r="HN47" s="147"/>
      <c r="HO47" s="147"/>
      <c r="HP47" s="147"/>
      <c r="HQ47" s="147"/>
      <c r="HR47" s="147"/>
      <c r="HS47" s="147"/>
      <c r="HT47" s="147"/>
      <c r="HU47" s="147"/>
      <c r="HV47" s="147"/>
      <c r="HW47" s="147"/>
      <c r="HX47" s="147"/>
      <c r="HY47" s="147"/>
      <c r="HZ47" s="147"/>
      <c r="IA47" s="147"/>
      <c r="IB47" s="147"/>
      <c r="IC47" s="147"/>
      <c r="ID47" s="147"/>
      <c r="IE47" s="147"/>
      <c r="IF47" s="147"/>
      <c r="IG47" s="147"/>
      <c r="IH47" s="147"/>
      <c r="II47" s="147"/>
      <c r="IJ47" s="147"/>
      <c r="IK47" s="147"/>
      <c r="IL47" s="147"/>
      <c r="IM47" s="147"/>
      <c r="IN47" s="147"/>
      <c r="IO47" s="147"/>
      <c r="IP47" s="147"/>
      <c r="IQ47" s="147"/>
      <c r="IR47" s="147"/>
      <c r="IS47" s="147"/>
      <c r="IT47" s="147"/>
      <c r="IU47" s="147"/>
      <c r="IV47" s="147"/>
      <c r="IW47" s="147"/>
      <c r="IX47" s="147"/>
      <c r="IY47" s="147"/>
      <c r="IZ47" s="147"/>
      <c r="JA47" s="147"/>
      <c r="JB47" s="147"/>
      <c r="JC47" s="147"/>
      <c r="JD47" s="147"/>
      <c r="JE47" s="147"/>
      <c r="JF47" s="147"/>
      <c r="JG47" s="147"/>
      <c r="JH47" s="147"/>
      <c r="JI47" s="147"/>
    </row>
    <row r="48" spans="1:269" ht="16" x14ac:dyDescent="0.2">
      <c r="A48" s="222">
        <v>43652</v>
      </c>
      <c r="B48" s="159">
        <v>2019</v>
      </c>
      <c r="C48" s="145" t="s">
        <v>30</v>
      </c>
      <c r="D48" s="154">
        <v>244</v>
      </c>
      <c r="E48" s="154">
        <v>13</v>
      </c>
      <c r="H48" s="157">
        <v>143</v>
      </c>
      <c r="I48" s="157"/>
      <c r="J48" s="157">
        <v>0</v>
      </c>
      <c r="K48" s="157">
        <v>1822</v>
      </c>
      <c r="L48" s="157"/>
      <c r="M48" s="157">
        <v>0</v>
      </c>
      <c r="N48" s="157">
        <v>20</v>
      </c>
      <c r="O48" s="157">
        <v>42</v>
      </c>
      <c r="P48" s="157">
        <v>276</v>
      </c>
      <c r="Q48" s="157"/>
      <c r="R48" s="162">
        <v>2303</v>
      </c>
      <c r="S48" s="51">
        <f t="shared" si="5"/>
        <v>0.81806339557099439</v>
      </c>
      <c r="T48" s="51">
        <f t="shared" si="6"/>
        <v>8.6843247937472869E-3</v>
      </c>
      <c r="U48" s="51">
        <f>(H48+P48)/R48</f>
        <v>0.18193660442900564</v>
      </c>
      <c r="Y48" s="157">
        <f t="shared" si="8"/>
        <v>9.4385245901639347</v>
      </c>
      <c r="Z48" s="158">
        <f t="shared" si="9"/>
        <v>177.15384615384616</v>
      </c>
      <c r="AA48" s="147" t="s">
        <v>43</v>
      </c>
      <c r="AB48" s="146" t="s">
        <v>123</v>
      </c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47"/>
      <c r="BB48" s="147"/>
      <c r="BC48" s="147"/>
      <c r="BD48" s="147"/>
      <c r="BE48" s="147"/>
      <c r="BF48" s="147"/>
      <c r="BG48" s="147"/>
      <c r="BH48" s="147"/>
      <c r="BI48" s="147"/>
      <c r="BJ48" s="147"/>
      <c r="BK48" s="147"/>
      <c r="BL48" s="147"/>
      <c r="BM48" s="147"/>
      <c r="BN48" s="147"/>
      <c r="BO48" s="147"/>
      <c r="BP48" s="147"/>
      <c r="BQ48" s="147"/>
      <c r="BR48" s="147"/>
      <c r="BS48" s="147"/>
      <c r="BT48" s="147"/>
      <c r="BU48" s="147"/>
      <c r="BV48" s="147"/>
      <c r="BW48" s="147"/>
      <c r="BX48" s="147"/>
      <c r="BY48" s="147"/>
      <c r="BZ48" s="147"/>
      <c r="CA48" s="147"/>
      <c r="CB48" s="147"/>
      <c r="CC48" s="147"/>
      <c r="CD48" s="147"/>
      <c r="CE48" s="147"/>
      <c r="CF48" s="147"/>
      <c r="CG48" s="147"/>
      <c r="CH48" s="147"/>
      <c r="CI48" s="147"/>
      <c r="CJ48" s="147"/>
      <c r="CK48" s="147"/>
      <c r="CL48" s="147"/>
      <c r="CM48" s="147"/>
      <c r="CN48" s="147"/>
      <c r="CO48" s="147"/>
      <c r="CP48" s="147"/>
      <c r="CQ48" s="147"/>
      <c r="CR48" s="147"/>
      <c r="CS48" s="147"/>
      <c r="CT48" s="147"/>
      <c r="CU48" s="147"/>
      <c r="CV48" s="147"/>
      <c r="CW48" s="147"/>
      <c r="CX48" s="147"/>
      <c r="CY48" s="147"/>
      <c r="CZ48" s="147"/>
      <c r="DA48" s="147"/>
      <c r="DB48" s="147"/>
      <c r="DC48" s="147"/>
      <c r="DD48" s="147"/>
      <c r="DE48" s="147"/>
      <c r="DF48" s="147"/>
      <c r="DG48" s="147"/>
      <c r="DH48" s="147"/>
      <c r="DI48" s="147"/>
      <c r="DJ48" s="147"/>
      <c r="DK48" s="147"/>
      <c r="DL48" s="147"/>
      <c r="DM48" s="147"/>
      <c r="DN48" s="147"/>
      <c r="DO48" s="147"/>
      <c r="DP48" s="147"/>
      <c r="DQ48" s="147"/>
      <c r="DR48" s="147"/>
      <c r="DS48" s="147"/>
      <c r="DT48" s="147"/>
      <c r="DU48" s="147"/>
      <c r="DV48" s="147"/>
      <c r="DW48" s="147"/>
      <c r="DX48" s="147"/>
      <c r="DY48" s="147"/>
      <c r="DZ48" s="147"/>
      <c r="EA48" s="147"/>
      <c r="EB48" s="147"/>
      <c r="EC48" s="147"/>
      <c r="ED48" s="147"/>
      <c r="EE48" s="147"/>
      <c r="EF48" s="147"/>
      <c r="EG48" s="147"/>
      <c r="EH48" s="147"/>
      <c r="EI48" s="147"/>
      <c r="EJ48" s="147"/>
      <c r="EK48" s="147"/>
      <c r="EL48" s="147"/>
      <c r="EM48" s="147"/>
      <c r="EN48" s="147"/>
      <c r="EO48" s="147"/>
      <c r="EP48" s="147"/>
      <c r="EQ48" s="147"/>
      <c r="ER48" s="147"/>
      <c r="ES48" s="147"/>
      <c r="ET48" s="147"/>
      <c r="EU48" s="147"/>
      <c r="EV48" s="147"/>
      <c r="EW48" s="147"/>
      <c r="EX48" s="147"/>
      <c r="EY48" s="147"/>
      <c r="EZ48" s="147"/>
      <c r="FA48" s="147"/>
      <c r="FB48" s="147"/>
      <c r="FC48" s="147"/>
      <c r="FD48" s="147"/>
      <c r="FE48" s="147"/>
      <c r="FF48" s="147"/>
      <c r="FG48" s="147"/>
      <c r="FH48" s="147"/>
      <c r="FI48" s="147"/>
      <c r="FJ48" s="147"/>
      <c r="FK48" s="147"/>
      <c r="FL48" s="147"/>
      <c r="FM48" s="147"/>
      <c r="FN48" s="147"/>
      <c r="FO48" s="147"/>
      <c r="FP48" s="147"/>
      <c r="FQ48" s="147"/>
      <c r="FR48" s="147"/>
      <c r="FS48" s="147"/>
      <c r="FT48" s="147"/>
      <c r="FU48" s="147"/>
      <c r="FV48" s="147"/>
      <c r="FW48" s="147"/>
      <c r="FX48" s="147"/>
      <c r="FY48" s="147"/>
      <c r="FZ48" s="147"/>
      <c r="GA48" s="147"/>
      <c r="GB48" s="147"/>
      <c r="GC48" s="147"/>
      <c r="GD48" s="147"/>
      <c r="GE48" s="147"/>
      <c r="GF48" s="147"/>
      <c r="GG48" s="147"/>
      <c r="GH48" s="147"/>
      <c r="GI48" s="147"/>
      <c r="GJ48" s="147"/>
      <c r="GK48" s="147"/>
      <c r="GL48" s="147"/>
      <c r="GM48" s="147"/>
      <c r="GN48" s="147"/>
      <c r="GO48" s="147"/>
      <c r="GP48" s="147"/>
      <c r="GQ48" s="147"/>
      <c r="GR48" s="147"/>
      <c r="GS48" s="147"/>
      <c r="GT48" s="147"/>
      <c r="GU48" s="147"/>
      <c r="GV48" s="147"/>
      <c r="GW48" s="147"/>
      <c r="GX48" s="147"/>
      <c r="GY48" s="147"/>
      <c r="GZ48" s="147"/>
      <c r="HA48" s="147"/>
      <c r="HB48" s="147"/>
      <c r="HC48" s="147"/>
      <c r="HD48" s="147"/>
      <c r="HE48" s="147"/>
      <c r="HF48" s="147"/>
      <c r="HG48" s="147"/>
      <c r="HH48" s="147"/>
      <c r="HI48" s="147"/>
      <c r="HJ48" s="147"/>
      <c r="HK48" s="147"/>
      <c r="HL48" s="147"/>
      <c r="HM48" s="147"/>
      <c r="HN48" s="147"/>
      <c r="HO48" s="147"/>
      <c r="HP48" s="147"/>
      <c r="HQ48" s="147"/>
      <c r="HR48" s="147"/>
      <c r="HS48" s="147"/>
      <c r="HT48" s="147"/>
      <c r="HU48" s="147"/>
      <c r="HV48" s="147"/>
      <c r="HW48" s="147"/>
      <c r="HX48" s="147"/>
      <c r="HY48" s="147"/>
      <c r="HZ48" s="147"/>
      <c r="IA48" s="147"/>
      <c r="IB48" s="147"/>
      <c r="IC48" s="147"/>
      <c r="ID48" s="147"/>
      <c r="IE48" s="147"/>
      <c r="IF48" s="147"/>
      <c r="IG48" s="147"/>
      <c r="IH48" s="147"/>
      <c r="II48" s="147"/>
      <c r="IJ48" s="147"/>
      <c r="IK48" s="147"/>
      <c r="IL48" s="147"/>
      <c r="IM48" s="147"/>
      <c r="IN48" s="147"/>
      <c r="IO48" s="147"/>
      <c r="IP48" s="147"/>
      <c r="IQ48" s="147"/>
      <c r="IR48" s="147"/>
      <c r="IS48" s="147"/>
      <c r="IT48" s="147"/>
      <c r="IU48" s="147"/>
      <c r="IV48" s="147"/>
      <c r="IW48" s="147"/>
      <c r="IX48" s="147"/>
      <c r="IY48" s="147"/>
      <c r="IZ48" s="147"/>
      <c r="JA48" s="147"/>
      <c r="JB48" s="147"/>
      <c r="JC48" s="147"/>
      <c r="JD48" s="147"/>
      <c r="JE48" s="147"/>
      <c r="JF48" s="147"/>
      <c r="JG48" s="147"/>
      <c r="JH48" s="147"/>
      <c r="JI48" s="147"/>
    </row>
    <row r="49" spans="1:269" ht="16" x14ac:dyDescent="0.2">
      <c r="A49" s="222">
        <v>43659</v>
      </c>
      <c r="B49" s="159">
        <v>2019</v>
      </c>
      <c r="C49" s="145" t="s">
        <v>30</v>
      </c>
      <c r="D49" s="154">
        <v>161</v>
      </c>
      <c r="E49" s="159">
        <v>13</v>
      </c>
      <c r="H49" s="157">
        <v>50</v>
      </c>
      <c r="I49" s="157"/>
      <c r="J49" s="157">
        <v>234</v>
      </c>
      <c r="K49" s="157">
        <v>1153.5</v>
      </c>
      <c r="L49" s="157"/>
      <c r="M49" s="157">
        <v>0</v>
      </c>
      <c r="N49" s="164">
        <v>28</v>
      </c>
      <c r="O49" s="164">
        <v>12</v>
      </c>
      <c r="P49" s="157">
        <v>629.5</v>
      </c>
      <c r="Q49" s="157"/>
      <c r="R49" s="162">
        <v>2107</v>
      </c>
      <c r="S49" s="51">
        <f t="shared" si="5"/>
        <v>0.67750355956336028</v>
      </c>
      <c r="T49" s="51">
        <f t="shared" si="6"/>
        <v>1.3289036544850499E-2</v>
      </c>
      <c r="U49" s="51">
        <f>(H49+P49)/R49</f>
        <v>0.32249644043663978</v>
      </c>
      <c r="Y49" s="157">
        <f t="shared" si="8"/>
        <v>13.086956521739131</v>
      </c>
      <c r="Z49" s="158">
        <f t="shared" si="9"/>
        <v>162.07692307692307</v>
      </c>
      <c r="AA49" s="147" t="s">
        <v>42</v>
      </c>
      <c r="AB49" s="146" t="s">
        <v>123</v>
      </c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7"/>
      <c r="BB49" s="147"/>
      <c r="BC49" s="147"/>
      <c r="BD49" s="147"/>
      <c r="BE49" s="147"/>
      <c r="BF49" s="147"/>
      <c r="BG49" s="147"/>
      <c r="BH49" s="147"/>
      <c r="BI49" s="147"/>
      <c r="BJ49" s="147"/>
      <c r="BK49" s="147"/>
      <c r="BL49" s="147"/>
      <c r="BM49" s="147"/>
      <c r="BN49" s="147"/>
      <c r="BO49" s="147"/>
      <c r="BP49" s="147"/>
      <c r="BQ49" s="147"/>
      <c r="BR49" s="147"/>
      <c r="BS49" s="147"/>
      <c r="BT49" s="147"/>
      <c r="BU49" s="147"/>
      <c r="BV49" s="147"/>
      <c r="BW49" s="147"/>
      <c r="BX49" s="147"/>
      <c r="BY49" s="147"/>
      <c r="BZ49" s="147"/>
      <c r="CA49" s="147"/>
      <c r="CB49" s="147"/>
      <c r="CC49" s="147"/>
      <c r="CD49" s="147"/>
      <c r="CE49" s="147"/>
      <c r="CF49" s="147"/>
      <c r="CG49" s="147"/>
      <c r="CH49" s="147"/>
      <c r="CI49" s="147"/>
      <c r="CJ49" s="147"/>
      <c r="CK49" s="147"/>
      <c r="CL49" s="147"/>
      <c r="CM49" s="147"/>
      <c r="CN49" s="147"/>
      <c r="CO49" s="147"/>
      <c r="CP49" s="147"/>
      <c r="CQ49" s="147"/>
      <c r="CR49" s="147"/>
      <c r="CS49" s="147"/>
      <c r="CT49" s="147"/>
      <c r="CU49" s="147"/>
      <c r="CV49" s="147"/>
      <c r="CW49" s="147"/>
      <c r="CX49" s="147"/>
      <c r="CY49" s="147"/>
      <c r="CZ49" s="147"/>
      <c r="DA49" s="147"/>
      <c r="DB49" s="147"/>
      <c r="DC49" s="147"/>
      <c r="DD49" s="147"/>
      <c r="DE49" s="147"/>
      <c r="DF49" s="147"/>
      <c r="DG49" s="147"/>
      <c r="DH49" s="147"/>
      <c r="DI49" s="147"/>
      <c r="DJ49" s="147"/>
      <c r="DK49" s="147"/>
      <c r="DL49" s="147"/>
      <c r="DM49" s="147"/>
      <c r="DN49" s="147"/>
      <c r="DO49" s="147"/>
      <c r="DP49" s="147"/>
      <c r="DQ49" s="147"/>
      <c r="DR49" s="147"/>
      <c r="DS49" s="147"/>
      <c r="DT49" s="147"/>
      <c r="DU49" s="147"/>
      <c r="DV49" s="147"/>
      <c r="DW49" s="147"/>
      <c r="DX49" s="147"/>
      <c r="DY49" s="147"/>
      <c r="DZ49" s="147"/>
      <c r="EA49" s="147"/>
      <c r="EB49" s="147"/>
      <c r="EC49" s="147"/>
      <c r="ED49" s="147"/>
      <c r="EE49" s="147"/>
      <c r="EF49" s="147"/>
      <c r="EG49" s="147"/>
      <c r="EH49" s="147"/>
      <c r="EI49" s="147"/>
      <c r="EJ49" s="147"/>
      <c r="EK49" s="147"/>
      <c r="EL49" s="147"/>
      <c r="EM49" s="147"/>
      <c r="EN49" s="147"/>
      <c r="EO49" s="147"/>
      <c r="EP49" s="147"/>
      <c r="EQ49" s="147"/>
      <c r="ER49" s="147"/>
      <c r="ES49" s="147"/>
      <c r="ET49" s="147"/>
      <c r="EU49" s="147"/>
      <c r="EV49" s="147"/>
      <c r="EW49" s="147"/>
      <c r="EX49" s="147"/>
      <c r="EY49" s="147"/>
      <c r="EZ49" s="147"/>
      <c r="FA49" s="147"/>
      <c r="FB49" s="147"/>
      <c r="FC49" s="147"/>
      <c r="FD49" s="147"/>
      <c r="FE49" s="147"/>
      <c r="FF49" s="147"/>
      <c r="FG49" s="147"/>
      <c r="FH49" s="147"/>
      <c r="FI49" s="147"/>
      <c r="FJ49" s="147"/>
      <c r="FK49" s="147"/>
      <c r="FL49" s="147"/>
      <c r="FM49" s="147"/>
      <c r="FN49" s="147"/>
      <c r="FO49" s="147"/>
      <c r="FP49" s="147"/>
      <c r="FQ49" s="147"/>
      <c r="FR49" s="147"/>
      <c r="FS49" s="147"/>
      <c r="FT49" s="147"/>
      <c r="FU49" s="147"/>
      <c r="FV49" s="147"/>
      <c r="FW49" s="147"/>
      <c r="FX49" s="147"/>
      <c r="FY49" s="147"/>
      <c r="FZ49" s="147"/>
      <c r="GA49" s="147"/>
      <c r="GB49" s="147"/>
      <c r="GC49" s="147"/>
      <c r="GD49" s="147"/>
      <c r="GE49" s="147"/>
      <c r="GF49" s="147"/>
      <c r="GG49" s="147"/>
      <c r="GH49" s="147"/>
      <c r="GI49" s="147"/>
      <c r="GJ49" s="147"/>
      <c r="GK49" s="147"/>
      <c r="GL49" s="147"/>
      <c r="GM49" s="147"/>
      <c r="GN49" s="147"/>
      <c r="GO49" s="147"/>
      <c r="GP49" s="147"/>
      <c r="GQ49" s="147"/>
      <c r="GR49" s="147"/>
      <c r="GS49" s="147"/>
      <c r="GT49" s="147"/>
      <c r="GU49" s="147"/>
      <c r="GV49" s="147"/>
      <c r="GW49" s="147"/>
      <c r="GX49" s="147"/>
      <c r="GY49" s="147"/>
      <c r="GZ49" s="147"/>
      <c r="HA49" s="147"/>
      <c r="HB49" s="147"/>
      <c r="HC49" s="147"/>
      <c r="HD49" s="147"/>
      <c r="HE49" s="147"/>
      <c r="HF49" s="147"/>
      <c r="HG49" s="147"/>
      <c r="HH49" s="147"/>
      <c r="HI49" s="147"/>
      <c r="HJ49" s="147"/>
      <c r="HK49" s="147"/>
      <c r="HL49" s="147"/>
      <c r="HM49" s="147"/>
      <c r="HN49" s="147"/>
      <c r="HO49" s="147"/>
      <c r="HP49" s="147"/>
      <c r="HQ49" s="147"/>
      <c r="HR49" s="147"/>
      <c r="HS49" s="147"/>
      <c r="HT49" s="147"/>
      <c r="HU49" s="147"/>
      <c r="HV49" s="147"/>
      <c r="HW49" s="147"/>
      <c r="HX49" s="147"/>
      <c r="HY49" s="147"/>
      <c r="HZ49" s="147"/>
      <c r="IA49" s="147"/>
      <c r="IB49" s="147"/>
      <c r="IC49" s="147"/>
      <c r="ID49" s="147"/>
      <c r="IE49" s="147"/>
      <c r="IF49" s="147"/>
      <c r="IG49" s="147"/>
      <c r="IH49" s="147"/>
      <c r="II49" s="147"/>
      <c r="IJ49" s="147"/>
      <c r="IK49" s="147"/>
      <c r="IL49" s="147"/>
      <c r="IM49" s="147"/>
      <c r="IN49" s="147"/>
      <c r="IO49" s="147"/>
      <c r="IP49" s="147"/>
      <c r="IQ49" s="147"/>
      <c r="IR49" s="147"/>
      <c r="IS49" s="147"/>
      <c r="IT49" s="147"/>
      <c r="IU49" s="147"/>
      <c r="IV49" s="147"/>
      <c r="IW49" s="147"/>
      <c r="IX49" s="147"/>
      <c r="IY49" s="147"/>
      <c r="IZ49" s="147"/>
      <c r="JA49" s="147"/>
      <c r="JB49" s="147"/>
      <c r="JC49" s="147"/>
      <c r="JD49" s="147"/>
      <c r="JE49" s="147"/>
      <c r="JF49" s="147"/>
      <c r="JG49" s="147"/>
      <c r="JH49" s="147"/>
      <c r="JI49" s="147"/>
    </row>
    <row r="50" spans="1:269" ht="16" x14ac:dyDescent="0.2">
      <c r="A50" s="222">
        <v>43666</v>
      </c>
      <c r="B50" s="159">
        <v>2019</v>
      </c>
      <c r="C50" s="145" t="s">
        <v>30</v>
      </c>
      <c r="D50" s="163">
        <v>217</v>
      </c>
      <c r="E50" s="165">
        <v>12</v>
      </c>
      <c r="H50" s="157">
        <v>0</v>
      </c>
      <c r="I50" s="157"/>
      <c r="J50" s="157">
        <v>351</v>
      </c>
      <c r="K50" s="157">
        <v>1096.4000000000001</v>
      </c>
      <c r="L50" s="157"/>
      <c r="M50" s="157">
        <v>0</v>
      </c>
      <c r="N50" s="157">
        <v>56</v>
      </c>
      <c r="O50" s="157">
        <v>24</v>
      </c>
      <c r="P50" s="157">
        <v>326</v>
      </c>
      <c r="Q50" s="157"/>
      <c r="R50" s="162">
        <v>1853.4</v>
      </c>
      <c r="S50" s="51">
        <f t="shared" si="5"/>
        <v>0.82410704650911837</v>
      </c>
      <c r="T50" s="51">
        <f t="shared" si="6"/>
        <v>3.0214740476961259E-2</v>
      </c>
      <c r="U50" s="51">
        <f>P50/R50</f>
        <v>0.1758929534908816</v>
      </c>
      <c r="Y50" s="157">
        <f t="shared" si="8"/>
        <v>8.5410138248847929</v>
      </c>
      <c r="Z50" s="158">
        <f t="shared" si="9"/>
        <v>154.45000000000002</v>
      </c>
      <c r="AA50" s="147" t="s">
        <v>41</v>
      </c>
      <c r="AB50" s="146" t="s">
        <v>123</v>
      </c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  <c r="BH50" s="147"/>
      <c r="BI50" s="147"/>
      <c r="BJ50" s="147"/>
      <c r="BK50" s="147"/>
      <c r="BL50" s="147"/>
      <c r="BM50" s="147"/>
      <c r="BN50" s="147"/>
      <c r="BO50" s="147"/>
      <c r="BP50" s="147"/>
      <c r="BQ50" s="147"/>
      <c r="BR50" s="147"/>
      <c r="BS50" s="147"/>
      <c r="BT50" s="147"/>
      <c r="BU50" s="147"/>
      <c r="BV50" s="147"/>
      <c r="BW50" s="147"/>
      <c r="BX50" s="147"/>
      <c r="BY50" s="147"/>
      <c r="BZ50" s="147"/>
      <c r="CA50" s="147"/>
      <c r="CB50" s="147"/>
      <c r="CC50" s="147"/>
      <c r="CD50" s="147"/>
      <c r="CE50" s="147"/>
      <c r="CF50" s="147"/>
      <c r="CG50" s="147"/>
      <c r="CH50" s="147"/>
      <c r="CI50" s="147"/>
      <c r="CJ50" s="147"/>
      <c r="CK50" s="147"/>
      <c r="CL50" s="147"/>
      <c r="CM50" s="147"/>
      <c r="CN50" s="147"/>
      <c r="CO50" s="147"/>
      <c r="CP50" s="147"/>
      <c r="CQ50" s="147"/>
      <c r="CR50" s="147"/>
      <c r="CS50" s="147"/>
      <c r="CT50" s="147"/>
      <c r="CU50" s="147"/>
      <c r="CV50" s="147"/>
      <c r="CW50" s="147"/>
      <c r="CX50" s="147"/>
      <c r="CY50" s="147"/>
      <c r="CZ50" s="147"/>
      <c r="DA50" s="147"/>
      <c r="DB50" s="147"/>
      <c r="DC50" s="147"/>
      <c r="DD50" s="147"/>
      <c r="DE50" s="147"/>
      <c r="DF50" s="147"/>
      <c r="DG50" s="147"/>
      <c r="DH50" s="147"/>
      <c r="DI50" s="147"/>
      <c r="DJ50" s="147"/>
      <c r="DK50" s="147"/>
      <c r="DL50" s="147"/>
      <c r="DM50" s="147"/>
      <c r="DN50" s="147"/>
      <c r="DO50" s="147"/>
      <c r="DP50" s="147"/>
      <c r="DQ50" s="147"/>
      <c r="DR50" s="147"/>
      <c r="DS50" s="147"/>
      <c r="DT50" s="147"/>
      <c r="DU50" s="147"/>
      <c r="DV50" s="147"/>
      <c r="DW50" s="147"/>
      <c r="DX50" s="147"/>
      <c r="DY50" s="147"/>
      <c r="DZ50" s="147"/>
      <c r="EA50" s="147"/>
      <c r="EB50" s="147"/>
      <c r="EC50" s="147"/>
      <c r="ED50" s="147"/>
      <c r="EE50" s="147"/>
      <c r="EF50" s="147"/>
      <c r="EG50" s="147"/>
      <c r="EH50" s="147"/>
      <c r="EI50" s="147"/>
      <c r="EJ50" s="147"/>
      <c r="EK50" s="147"/>
      <c r="EL50" s="147"/>
      <c r="EM50" s="147"/>
      <c r="EN50" s="147"/>
      <c r="EO50" s="147"/>
      <c r="EP50" s="147"/>
      <c r="EQ50" s="147"/>
      <c r="ER50" s="147"/>
      <c r="ES50" s="147"/>
      <c r="ET50" s="147"/>
      <c r="EU50" s="147"/>
      <c r="EV50" s="147"/>
      <c r="EW50" s="147"/>
      <c r="EX50" s="147"/>
      <c r="EY50" s="147"/>
      <c r="EZ50" s="147"/>
      <c r="FA50" s="147"/>
      <c r="FB50" s="147"/>
      <c r="FC50" s="147"/>
      <c r="FD50" s="147"/>
      <c r="FE50" s="147"/>
      <c r="FF50" s="147"/>
      <c r="FG50" s="147"/>
      <c r="FH50" s="147"/>
      <c r="FI50" s="147"/>
      <c r="FJ50" s="147"/>
      <c r="FK50" s="147"/>
      <c r="FL50" s="147"/>
      <c r="FM50" s="147"/>
      <c r="FN50" s="147"/>
      <c r="FO50" s="147"/>
      <c r="FP50" s="147"/>
      <c r="FQ50" s="147"/>
      <c r="FR50" s="147"/>
      <c r="FS50" s="147"/>
      <c r="FT50" s="147"/>
      <c r="FU50" s="147"/>
      <c r="FV50" s="147"/>
      <c r="FW50" s="147"/>
      <c r="FX50" s="147"/>
      <c r="FY50" s="147"/>
      <c r="FZ50" s="147"/>
      <c r="GA50" s="147"/>
      <c r="GB50" s="147"/>
      <c r="GC50" s="147"/>
      <c r="GD50" s="147"/>
      <c r="GE50" s="147"/>
      <c r="GF50" s="147"/>
      <c r="GG50" s="147"/>
      <c r="GH50" s="147"/>
      <c r="GI50" s="147"/>
      <c r="GJ50" s="147"/>
      <c r="GK50" s="147"/>
      <c r="GL50" s="147"/>
      <c r="GM50" s="147"/>
      <c r="GN50" s="147"/>
      <c r="GO50" s="147"/>
      <c r="GP50" s="147"/>
      <c r="GQ50" s="147"/>
      <c r="GR50" s="147"/>
      <c r="GS50" s="147"/>
      <c r="GT50" s="147"/>
      <c r="GU50" s="147"/>
      <c r="GV50" s="147"/>
      <c r="GW50" s="147"/>
      <c r="GX50" s="147"/>
      <c r="GY50" s="147"/>
      <c r="GZ50" s="147"/>
      <c r="HA50" s="147"/>
      <c r="HB50" s="147"/>
      <c r="HC50" s="147"/>
      <c r="HD50" s="147"/>
      <c r="HE50" s="147"/>
      <c r="HF50" s="147"/>
      <c r="HG50" s="147"/>
      <c r="HH50" s="147"/>
      <c r="HI50" s="147"/>
      <c r="HJ50" s="147"/>
      <c r="HK50" s="147"/>
      <c r="HL50" s="147"/>
      <c r="HM50" s="147"/>
      <c r="HN50" s="147"/>
      <c r="HO50" s="147"/>
      <c r="HP50" s="147"/>
      <c r="HQ50" s="147"/>
      <c r="HR50" s="147"/>
      <c r="HS50" s="147"/>
      <c r="HT50" s="147"/>
      <c r="HU50" s="147"/>
      <c r="HV50" s="147"/>
      <c r="HW50" s="147"/>
      <c r="HX50" s="147"/>
      <c r="HY50" s="147"/>
      <c r="HZ50" s="147"/>
      <c r="IA50" s="147"/>
      <c r="IB50" s="147"/>
      <c r="IC50" s="147"/>
      <c r="ID50" s="147"/>
      <c r="IE50" s="147"/>
      <c r="IF50" s="147"/>
      <c r="IG50" s="147"/>
      <c r="IH50" s="147"/>
      <c r="II50" s="147"/>
      <c r="IJ50" s="147"/>
      <c r="IK50" s="147"/>
      <c r="IL50" s="147"/>
      <c r="IM50" s="147"/>
      <c r="IN50" s="147"/>
      <c r="IO50" s="147"/>
      <c r="IP50" s="147"/>
      <c r="IQ50" s="147"/>
      <c r="IR50" s="147"/>
      <c r="IS50" s="147"/>
      <c r="IT50" s="147"/>
      <c r="IU50" s="147"/>
      <c r="IV50" s="147"/>
      <c r="IW50" s="147"/>
      <c r="IX50" s="147"/>
      <c r="IY50" s="147"/>
      <c r="IZ50" s="147"/>
      <c r="JA50" s="147"/>
      <c r="JB50" s="147"/>
      <c r="JC50" s="147"/>
      <c r="JD50" s="147"/>
      <c r="JE50" s="147"/>
      <c r="JF50" s="147"/>
      <c r="JG50" s="147"/>
      <c r="JH50" s="147"/>
      <c r="JI50" s="147"/>
    </row>
    <row r="51" spans="1:269" ht="16" x14ac:dyDescent="0.2">
      <c r="A51" s="222">
        <v>43680</v>
      </c>
      <c r="B51" s="159">
        <v>2019</v>
      </c>
      <c r="C51" s="146" t="s">
        <v>31</v>
      </c>
      <c r="D51" s="159">
        <v>263</v>
      </c>
      <c r="E51" s="159">
        <v>9</v>
      </c>
      <c r="H51" s="157">
        <v>0</v>
      </c>
      <c r="I51" s="157"/>
      <c r="J51" s="157">
        <v>0</v>
      </c>
      <c r="K51" s="157">
        <v>1228</v>
      </c>
      <c r="L51" s="157"/>
      <c r="M51" s="157">
        <v>0</v>
      </c>
      <c r="N51" s="157">
        <v>36</v>
      </c>
      <c r="O51" s="157">
        <v>48</v>
      </c>
      <c r="P51" s="157">
        <v>492.5</v>
      </c>
      <c r="Q51" s="157"/>
      <c r="R51" s="162">
        <v>1804.5</v>
      </c>
      <c r="S51" s="51">
        <f t="shared" si="5"/>
        <v>0.72707121086173454</v>
      </c>
      <c r="T51" s="51">
        <f t="shared" si="6"/>
        <v>1.9950124688279301E-2</v>
      </c>
      <c r="U51" s="51">
        <f>P51/R51</f>
        <v>0.27292878913826546</v>
      </c>
      <c r="Y51" s="157">
        <f t="shared" si="8"/>
        <v>6.8612167300380227</v>
      </c>
      <c r="Z51" s="158">
        <f t="shared" si="9"/>
        <v>200.5</v>
      </c>
      <c r="AA51" s="147" t="s">
        <v>19</v>
      </c>
      <c r="AB51" s="146" t="s">
        <v>123</v>
      </c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  <c r="AY51" s="147"/>
      <c r="AZ51" s="147"/>
      <c r="BA51" s="147"/>
      <c r="BB51" s="147"/>
      <c r="BC51" s="147"/>
      <c r="BD51" s="147"/>
      <c r="BE51" s="147"/>
      <c r="BF51" s="147"/>
      <c r="BG51" s="147"/>
      <c r="BH51" s="147"/>
      <c r="BI51" s="147"/>
      <c r="BJ51" s="147"/>
      <c r="BK51" s="147"/>
      <c r="BL51" s="147"/>
      <c r="BM51" s="147"/>
      <c r="BN51" s="147"/>
      <c r="BO51" s="147"/>
      <c r="BP51" s="147"/>
      <c r="BQ51" s="147"/>
      <c r="BR51" s="147"/>
      <c r="BS51" s="147"/>
      <c r="BT51" s="147"/>
      <c r="BU51" s="147"/>
      <c r="BV51" s="147"/>
      <c r="BW51" s="147"/>
      <c r="BX51" s="147"/>
      <c r="BY51" s="147"/>
      <c r="BZ51" s="147"/>
      <c r="CA51" s="147"/>
      <c r="CB51" s="147"/>
      <c r="CC51" s="147"/>
      <c r="CD51" s="147"/>
      <c r="CE51" s="147"/>
      <c r="CF51" s="147"/>
      <c r="CG51" s="147"/>
      <c r="CH51" s="147"/>
      <c r="CI51" s="147"/>
      <c r="CJ51" s="147"/>
      <c r="CK51" s="147"/>
      <c r="CL51" s="147"/>
      <c r="CM51" s="147"/>
      <c r="CN51" s="147"/>
      <c r="CO51" s="147"/>
      <c r="CP51" s="147"/>
      <c r="CQ51" s="147"/>
      <c r="CR51" s="147"/>
      <c r="CS51" s="147"/>
      <c r="CT51" s="147"/>
      <c r="CU51" s="147"/>
      <c r="CV51" s="147"/>
      <c r="CW51" s="147"/>
      <c r="CX51" s="147"/>
      <c r="CY51" s="147"/>
      <c r="CZ51" s="147"/>
      <c r="DA51" s="147"/>
      <c r="DB51" s="147"/>
      <c r="DC51" s="147"/>
      <c r="DD51" s="147"/>
      <c r="DE51" s="147"/>
      <c r="DF51" s="147"/>
      <c r="DG51" s="147"/>
      <c r="DH51" s="147"/>
      <c r="DI51" s="147"/>
      <c r="DJ51" s="147"/>
      <c r="DK51" s="147"/>
      <c r="DL51" s="147"/>
      <c r="DM51" s="147"/>
      <c r="DN51" s="147"/>
      <c r="DO51" s="147"/>
      <c r="DP51" s="147"/>
      <c r="DQ51" s="147"/>
      <c r="DR51" s="147"/>
      <c r="DS51" s="147"/>
      <c r="DT51" s="147"/>
      <c r="DU51" s="147"/>
      <c r="DV51" s="147"/>
      <c r="DW51" s="147"/>
      <c r="DX51" s="147"/>
      <c r="DY51" s="147"/>
      <c r="DZ51" s="147"/>
      <c r="EA51" s="147"/>
      <c r="EB51" s="147"/>
      <c r="EC51" s="147"/>
      <c r="ED51" s="147"/>
      <c r="EE51" s="147"/>
      <c r="EF51" s="147"/>
      <c r="EG51" s="147"/>
      <c r="EH51" s="147"/>
      <c r="EI51" s="147"/>
      <c r="EJ51" s="147"/>
      <c r="EK51" s="147"/>
      <c r="EL51" s="147"/>
      <c r="EM51" s="147"/>
      <c r="EN51" s="147"/>
      <c r="EO51" s="147"/>
      <c r="EP51" s="147"/>
      <c r="EQ51" s="147"/>
      <c r="ER51" s="147"/>
      <c r="ES51" s="147"/>
      <c r="ET51" s="147"/>
      <c r="EU51" s="147"/>
      <c r="EV51" s="147"/>
      <c r="EW51" s="147"/>
      <c r="EX51" s="147"/>
      <c r="EY51" s="147"/>
      <c r="EZ51" s="147"/>
      <c r="FA51" s="147"/>
      <c r="FB51" s="147"/>
      <c r="FC51" s="147"/>
      <c r="FD51" s="147"/>
      <c r="FE51" s="147"/>
      <c r="FF51" s="147"/>
      <c r="FG51" s="147"/>
      <c r="FH51" s="147"/>
      <c r="FI51" s="147"/>
      <c r="FJ51" s="147"/>
      <c r="FK51" s="147"/>
      <c r="FL51" s="147"/>
      <c r="FM51" s="147"/>
      <c r="FN51" s="147"/>
      <c r="FO51" s="147"/>
      <c r="FP51" s="147"/>
      <c r="FQ51" s="147"/>
      <c r="FR51" s="147"/>
      <c r="FS51" s="147"/>
      <c r="FT51" s="147"/>
      <c r="FU51" s="147"/>
      <c r="FV51" s="147"/>
      <c r="FW51" s="147"/>
      <c r="FX51" s="147"/>
      <c r="FY51" s="147"/>
      <c r="FZ51" s="147"/>
      <c r="GA51" s="147"/>
      <c r="GB51" s="147"/>
      <c r="GC51" s="147"/>
      <c r="GD51" s="147"/>
      <c r="GE51" s="147"/>
      <c r="GF51" s="147"/>
      <c r="GG51" s="147"/>
      <c r="GH51" s="147"/>
      <c r="GI51" s="147"/>
      <c r="GJ51" s="147"/>
      <c r="GK51" s="147"/>
      <c r="GL51" s="147"/>
      <c r="GM51" s="147"/>
      <c r="GN51" s="147"/>
      <c r="GO51" s="147"/>
      <c r="GP51" s="147"/>
      <c r="GQ51" s="147"/>
      <c r="GR51" s="147"/>
      <c r="GS51" s="147"/>
      <c r="GT51" s="147"/>
      <c r="GU51" s="147"/>
      <c r="GV51" s="147"/>
      <c r="GW51" s="147"/>
      <c r="GX51" s="147"/>
      <c r="GY51" s="147"/>
      <c r="GZ51" s="147"/>
      <c r="HA51" s="147"/>
      <c r="HB51" s="147"/>
      <c r="HC51" s="147"/>
      <c r="HD51" s="147"/>
      <c r="HE51" s="147"/>
      <c r="HF51" s="147"/>
      <c r="HG51" s="147"/>
      <c r="HH51" s="147"/>
      <c r="HI51" s="147"/>
      <c r="HJ51" s="147"/>
      <c r="HK51" s="147"/>
      <c r="HL51" s="147"/>
      <c r="HM51" s="147"/>
      <c r="HN51" s="147"/>
      <c r="HO51" s="147"/>
      <c r="HP51" s="147"/>
      <c r="HQ51" s="147"/>
      <c r="HR51" s="147"/>
      <c r="HS51" s="147"/>
      <c r="HT51" s="147"/>
      <c r="HU51" s="147"/>
      <c r="HV51" s="147"/>
      <c r="HW51" s="147"/>
      <c r="HX51" s="147"/>
      <c r="HY51" s="147"/>
      <c r="HZ51" s="147"/>
      <c r="IA51" s="147"/>
      <c r="IB51" s="147"/>
      <c r="IC51" s="147"/>
      <c r="ID51" s="147"/>
      <c r="IE51" s="147"/>
      <c r="IF51" s="147"/>
      <c r="IG51" s="147"/>
      <c r="IH51" s="147"/>
      <c r="II51" s="147"/>
      <c r="IJ51" s="147"/>
      <c r="IK51" s="147"/>
      <c r="IL51" s="147"/>
      <c r="IM51" s="147"/>
      <c r="IN51" s="147"/>
      <c r="IO51" s="147"/>
      <c r="IP51" s="147"/>
      <c r="IQ51" s="147"/>
      <c r="IR51" s="147"/>
      <c r="IS51" s="147"/>
      <c r="IT51" s="147"/>
      <c r="IU51" s="147"/>
      <c r="IV51" s="147"/>
      <c r="IW51" s="147"/>
      <c r="IX51" s="147"/>
      <c r="IY51" s="147"/>
      <c r="IZ51" s="147"/>
      <c r="JA51" s="147"/>
      <c r="JB51" s="147"/>
      <c r="JC51" s="147"/>
      <c r="JD51" s="147"/>
      <c r="JE51" s="147"/>
      <c r="JF51" s="147"/>
      <c r="JG51" s="147"/>
      <c r="JH51" s="147"/>
      <c r="JI51" s="147"/>
    </row>
    <row r="52" spans="1:269" ht="16" x14ac:dyDescent="0.2">
      <c r="A52" s="222">
        <v>43687</v>
      </c>
      <c r="B52" s="159">
        <v>2019</v>
      </c>
      <c r="C52" s="146" t="s">
        <v>31</v>
      </c>
      <c r="D52" s="159">
        <v>178</v>
      </c>
      <c r="E52" s="159">
        <v>12</v>
      </c>
      <c r="H52" s="157">
        <v>35</v>
      </c>
      <c r="I52" s="157"/>
      <c r="J52" s="157">
        <v>230</v>
      </c>
      <c r="K52" s="157">
        <v>1342.5</v>
      </c>
      <c r="L52" s="157"/>
      <c r="M52" s="157">
        <v>0</v>
      </c>
      <c r="N52" s="157">
        <v>36</v>
      </c>
      <c r="O52" s="157">
        <v>54</v>
      </c>
      <c r="P52" s="157">
        <v>202</v>
      </c>
      <c r="Q52" s="157"/>
      <c r="R52" s="162">
        <v>1899.5</v>
      </c>
      <c r="S52" s="51">
        <f t="shared" si="5"/>
        <v>0.87523032376941301</v>
      </c>
      <c r="T52" s="51">
        <f t="shared" si="6"/>
        <v>1.8952355883127138E-2</v>
      </c>
      <c r="U52" s="51">
        <f t="shared" ref="U52:U57" si="10">(H52+P52)/R52</f>
        <v>0.12476967623058699</v>
      </c>
      <c r="Y52" s="157">
        <f t="shared" si="8"/>
        <v>10.671348314606741</v>
      </c>
      <c r="Z52" s="158">
        <f t="shared" si="9"/>
        <v>158.29166666666666</v>
      </c>
      <c r="AA52" s="147" t="s">
        <v>39</v>
      </c>
      <c r="AB52" s="146" t="s">
        <v>123</v>
      </c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47"/>
      <c r="BB52" s="147"/>
      <c r="BC52" s="147"/>
      <c r="BD52" s="147"/>
      <c r="BE52" s="147"/>
      <c r="BF52" s="147"/>
      <c r="BG52" s="147"/>
      <c r="BH52" s="147"/>
      <c r="BI52" s="147"/>
      <c r="BJ52" s="147"/>
      <c r="BK52" s="147"/>
      <c r="BL52" s="147"/>
      <c r="BM52" s="147"/>
      <c r="BN52" s="147"/>
      <c r="BO52" s="147"/>
      <c r="BP52" s="147"/>
      <c r="BQ52" s="147"/>
      <c r="BR52" s="147"/>
      <c r="BS52" s="147"/>
      <c r="BT52" s="147"/>
      <c r="BU52" s="147"/>
      <c r="BV52" s="147"/>
      <c r="BW52" s="147"/>
      <c r="BX52" s="147"/>
      <c r="BY52" s="147"/>
      <c r="BZ52" s="147"/>
      <c r="CA52" s="147"/>
      <c r="CB52" s="147"/>
      <c r="CC52" s="147"/>
      <c r="CD52" s="147"/>
      <c r="CE52" s="147"/>
      <c r="CF52" s="147"/>
      <c r="CG52" s="147"/>
      <c r="CH52" s="147"/>
      <c r="CI52" s="147"/>
      <c r="CJ52" s="147"/>
      <c r="CK52" s="147"/>
      <c r="CL52" s="147"/>
      <c r="CM52" s="147"/>
      <c r="CN52" s="147"/>
      <c r="CO52" s="147"/>
      <c r="CP52" s="147"/>
      <c r="CQ52" s="147"/>
      <c r="CR52" s="147"/>
      <c r="CS52" s="147"/>
      <c r="CT52" s="147"/>
      <c r="CU52" s="147"/>
      <c r="CV52" s="147"/>
      <c r="CW52" s="147"/>
      <c r="CX52" s="147"/>
      <c r="CY52" s="147"/>
      <c r="CZ52" s="147"/>
      <c r="DA52" s="147"/>
      <c r="DB52" s="147"/>
      <c r="DC52" s="147"/>
      <c r="DD52" s="147"/>
      <c r="DE52" s="147"/>
      <c r="DF52" s="147"/>
      <c r="DG52" s="147"/>
      <c r="DH52" s="147"/>
      <c r="DI52" s="147"/>
      <c r="DJ52" s="147"/>
      <c r="DK52" s="147"/>
      <c r="DL52" s="147"/>
      <c r="DM52" s="147"/>
      <c r="DN52" s="147"/>
      <c r="DO52" s="147"/>
      <c r="DP52" s="147"/>
      <c r="DQ52" s="147"/>
      <c r="DR52" s="147"/>
      <c r="DS52" s="147"/>
      <c r="DT52" s="147"/>
      <c r="DU52" s="147"/>
      <c r="DV52" s="147"/>
      <c r="DW52" s="147"/>
      <c r="DX52" s="147"/>
      <c r="DY52" s="147"/>
      <c r="DZ52" s="147"/>
      <c r="EA52" s="147"/>
      <c r="EB52" s="147"/>
      <c r="EC52" s="147"/>
      <c r="ED52" s="147"/>
      <c r="EE52" s="147"/>
      <c r="EF52" s="147"/>
      <c r="EG52" s="147"/>
      <c r="EH52" s="147"/>
      <c r="EI52" s="147"/>
      <c r="EJ52" s="147"/>
      <c r="EK52" s="147"/>
      <c r="EL52" s="147"/>
      <c r="EM52" s="147"/>
      <c r="EN52" s="147"/>
      <c r="EO52" s="147"/>
      <c r="EP52" s="147"/>
      <c r="EQ52" s="147"/>
      <c r="ER52" s="147"/>
      <c r="ES52" s="147"/>
      <c r="ET52" s="147"/>
      <c r="EU52" s="147"/>
      <c r="EV52" s="147"/>
      <c r="EW52" s="147"/>
      <c r="EX52" s="147"/>
      <c r="EY52" s="147"/>
      <c r="EZ52" s="147"/>
      <c r="FA52" s="147"/>
      <c r="FB52" s="147"/>
      <c r="FC52" s="147"/>
      <c r="FD52" s="147"/>
      <c r="FE52" s="147"/>
      <c r="FF52" s="147"/>
      <c r="FG52" s="147"/>
      <c r="FH52" s="147"/>
      <c r="FI52" s="147"/>
      <c r="FJ52" s="147"/>
      <c r="FK52" s="147"/>
      <c r="FL52" s="147"/>
      <c r="FM52" s="147"/>
      <c r="FN52" s="147"/>
      <c r="FO52" s="147"/>
      <c r="FP52" s="147"/>
      <c r="FQ52" s="147"/>
      <c r="FR52" s="147"/>
      <c r="FS52" s="147"/>
      <c r="FT52" s="147"/>
      <c r="FU52" s="147"/>
      <c r="FV52" s="147"/>
      <c r="FW52" s="147"/>
      <c r="FX52" s="147"/>
      <c r="FY52" s="147"/>
      <c r="FZ52" s="147"/>
      <c r="GA52" s="147"/>
      <c r="GB52" s="147"/>
      <c r="GC52" s="147"/>
      <c r="GD52" s="147"/>
      <c r="GE52" s="147"/>
      <c r="GF52" s="147"/>
      <c r="GG52" s="147"/>
      <c r="GH52" s="147"/>
      <c r="GI52" s="147"/>
      <c r="GJ52" s="147"/>
      <c r="GK52" s="147"/>
      <c r="GL52" s="147"/>
      <c r="GM52" s="147"/>
      <c r="GN52" s="147"/>
      <c r="GO52" s="147"/>
      <c r="GP52" s="147"/>
      <c r="GQ52" s="147"/>
      <c r="GR52" s="147"/>
      <c r="GS52" s="147"/>
      <c r="GT52" s="147"/>
      <c r="GU52" s="147"/>
      <c r="GV52" s="147"/>
      <c r="GW52" s="147"/>
      <c r="GX52" s="147"/>
      <c r="GY52" s="147"/>
      <c r="GZ52" s="147"/>
      <c r="HA52" s="147"/>
      <c r="HB52" s="147"/>
      <c r="HC52" s="147"/>
      <c r="HD52" s="147"/>
      <c r="HE52" s="147"/>
      <c r="HF52" s="147"/>
      <c r="HG52" s="147"/>
      <c r="HH52" s="147"/>
      <c r="HI52" s="147"/>
      <c r="HJ52" s="147"/>
      <c r="HK52" s="147"/>
      <c r="HL52" s="147"/>
      <c r="HM52" s="147"/>
      <c r="HN52" s="147"/>
      <c r="HO52" s="147"/>
      <c r="HP52" s="147"/>
      <c r="HQ52" s="147"/>
      <c r="HR52" s="147"/>
      <c r="HS52" s="147"/>
      <c r="HT52" s="147"/>
      <c r="HU52" s="147"/>
      <c r="HV52" s="147"/>
      <c r="HW52" s="147"/>
      <c r="HX52" s="147"/>
      <c r="HY52" s="147"/>
      <c r="HZ52" s="147"/>
      <c r="IA52" s="147"/>
      <c r="IB52" s="147"/>
      <c r="IC52" s="147"/>
      <c r="ID52" s="147"/>
      <c r="IE52" s="147"/>
      <c r="IF52" s="147"/>
      <c r="IG52" s="147"/>
      <c r="IH52" s="147"/>
      <c r="II52" s="147"/>
      <c r="IJ52" s="147"/>
      <c r="IK52" s="147"/>
      <c r="IL52" s="147"/>
      <c r="IM52" s="147"/>
      <c r="IN52" s="147"/>
      <c r="IO52" s="147"/>
      <c r="IP52" s="147"/>
      <c r="IQ52" s="147"/>
      <c r="IR52" s="147"/>
      <c r="IS52" s="147"/>
      <c r="IT52" s="147"/>
      <c r="IU52" s="147"/>
      <c r="IV52" s="147"/>
      <c r="IW52" s="147"/>
      <c r="IX52" s="147"/>
      <c r="IY52" s="147"/>
      <c r="IZ52" s="147"/>
      <c r="JA52" s="147"/>
      <c r="JB52" s="147"/>
      <c r="JC52" s="147"/>
      <c r="JD52" s="147"/>
      <c r="JE52" s="147"/>
      <c r="JF52" s="147"/>
      <c r="JG52" s="147"/>
      <c r="JH52" s="147"/>
      <c r="JI52" s="147"/>
    </row>
    <row r="53" spans="1:269" ht="16" x14ac:dyDescent="0.2">
      <c r="A53" s="222">
        <v>43701</v>
      </c>
      <c r="B53" s="159">
        <v>2019</v>
      </c>
      <c r="C53" s="146" t="s">
        <v>31</v>
      </c>
      <c r="D53" s="159">
        <v>193</v>
      </c>
      <c r="E53" s="159">
        <v>10</v>
      </c>
      <c r="H53" s="167">
        <v>66</v>
      </c>
      <c r="I53" s="167"/>
      <c r="J53" s="157">
        <v>0</v>
      </c>
      <c r="K53" s="157">
        <v>963.55</v>
      </c>
      <c r="L53" s="157"/>
      <c r="M53" s="157">
        <v>0</v>
      </c>
      <c r="N53" s="157">
        <v>44</v>
      </c>
      <c r="O53" s="157">
        <v>20</v>
      </c>
      <c r="P53" s="157">
        <v>413</v>
      </c>
      <c r="Q53" s="157"/>
      <c r="R53" s="162">
        <v>1506.55</v>
      </c>
      <c r="S53" s="51">
        <f>SUM(K53+N53+O53)/R53</f>
        <v>0.68205502638478643</v>
      </c>
      <c r="T53" s="51">
        <f t="shared" si="6"/>
        <v>2.9205801334174109E-2</v>
      </c>
      <c r="U53" s="51">
        <f t="shared" si="10"/>
        <v>0.31794497361521357</v>
      </c>
      <c r="Y53" s="157">
        <f t="shared" si="8"/>
        <v>7.8059585492227974</v>
      </c>
      <c r="Z53" s="158">
        <f t="shared" si="9"/>
        <v>150.655</v>
      </c>
      <c r="AA53" s="147" t="s">
        <v>37</v>
      </c>
      <c r="AB53" s="146" t="s">
        <v>123</v>
      </c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7"/>
      <c r="BA53" s="147"/>
      <c r="BB53" s="147"/>
      <c r="BC53" s="147"/>
      <c r="BD53" s="147"/>
      <c r="BE53" s="147"/>
      <c r="BF53" s="147"/>
      <c r="BG53" s="147"/>
      <c r="BH53" s="147"/>
      <c r="BI53" s="147"/>
      <c r="BJ53" s="147"/>
      <c r="BK53" s="147"/>
      <c r="BL53" s="147"/>
      <c r="BM53" s="147"/>
      <c r="BN53" s="147"/>
      <c r="BO53" s="147"/>
      <c r="BP53" s="147"/>
      <c r="BQ53" s="147"/>
      <c r="BR53" s="147"/>
      <c r="BS53" s="147"/>
      <c r="BT53" s="147"/>
      <c r="BU53" s="147"/>
      <c r="BV53" s="147"/>
      <c r="BW53" s="147"/>
      <c r="BX53" s="147"/>
      <c r="BY53" s="147"/>
      <c r="BZ53" s="147"/>
      <c r="CA53" s="147"/>
      <c r="CB53" s="147"/>
      <c r="CC53" s="147"/>
      <c r="CD53" s="147"/>
      <c r="CE53" s="147"/>
      <c r="CF53" s="147"/>
      <c r="CG53" s="147"/>
      <c r="CH53" s="147"/>
      <c r="CI53" s="147"/>
      <c r="CJ53" s="147"/>
      <c r="CK53" s="147"/>
      <c r="CL53" s="147"/>
      <c r="CM53" s="147"/>
      <c r="CN53" s="147"/>
      <c r="CO53" s="147"/>
      <c r="CP53" s="147"/>
      <c r="CQ53" s="147"/>
      <c r="CR53" s="147"/>
      <c r="CS53" s="147"/>
      <c r="CT53" s="147"/>
      <c r="CU53" s="147"/>
      <c r="CV53" s="147"/>
      <c r="CW53" s="147"/>
      <c r="CX53" s="147"/>
      <c r="CY53" s="147"/>
      <c r="CZ53" s="147"/>
      <c r="DA53" s="147"/>
      <c r="DB53" s="147"/>
      <c r="DC53" s="147"/>
      <c r="DD53" s="147"/>
      <c r="DE53" s="147"/>
      <c r="DF53" s="147"/>
      <c r="DG53" s="147"/>
      <c r="DH53" s="147"/>
      <c r="DI53" s="147"/>
      <c r="DJ53" s="147"/>
      <c r="DK53" s="147"/>
      <c r="DL53" s="147"/>
      <c r="DM53" s="147"/>
      <c r="DN53" s="147"/>
      <c r="DO53" s="147"/>
      <c r="DP53" s="147"/>
      <c r="DQ53" s="147"/>
      <c r="DR53" s="147"/>
      <c r="DS53" s="147"/>
      <c r="DT53" s="147"/>
      <c r="DU53" s="147"/>
      <c r="DV53" s="147"/>
      <c r="DW53" s="147"/>
      <c r="DX53" s="147"/>
      <c r="DY53" s="147"/>
      <c r="DZ53" s="147"/>
      <c r="EA53" s="147"/>
      <c r="EB53" s="147"/>
      <c r="EC53" s="147"/>
      <c r="ED53" s="147"/>
      <c r="EE53" s="147"/>
      <c r="EF53" s="147"/>
      <c r="EG53" s="147"/>
      <c r="EH53" s="147"/>
      <c r="EI53" s="147"/>
      <c r="EJ53" s="147"/>
      <c r="EK53" s="147"/>
      <c r="EL53" s="147"/>
      <c r="EM53" s="147"/>
      <c r="EN53" s="147"/>
      <c r="EO53" s="147"/>
      <c r="EP53" s="147"/>
      <c r="EQ53" s="147"/>
      <c r="ER53" s="147"/>
      <c r="ES53" s="147"/>
      <c r="ET53" s="147"/>
      <c r="EU53" s="147"/>
      <c r="EV53" s="147"/>
      <c r="EW53" s="147"/>
      <c r="EX53" s="147"/>
      <c r="EY53" s="147"/>
      <c r="EZ53" s="147"/>
      <c r="FA53" s="147"/>
      <c r="FB53" s="147"/>
      <c r="FC53" s="147"/>
      <c r="FD53" s="147"/>
      <c r="FE53" s="147"/>
      <c r="FF53" s="147"/>
      <c r="FG53" s="147"/>
      <c r="FH53" s="147"/>
      <c r="FI53" s="147"/>
      <c r="FJ53" s="147"/>
      <c r="FK53" s="147"/>
      <c r="FL53" s="147"/>
      <c r="FM53" s="147"/>
      <c r="FN53" s="147"/>
      <c r="FO53" s="147"/>
      <c r="FP53" s="147"/>
      <c r="FQ53" s="147"/>
      <c r="FR53" s="147"/>
      <c r="FS53" s="147"/>
      <c r="FT53" s="147"/>
      <c r="FU53" s="147"/>
      <c r="FV53" s="147"/>
      <c r="FW53" s="147"/>
      <c r="FX53" s="147"/>
      <c r="FY53" s="147"/>
      <c r="FZ53" s="147"/>
      <c r="GA53" s="147"/>
      <c r="GB53" s="147"/>
      <c r="GC53" s="147"/>
      <c r="GD53" s="147"/>
      <c r="GE53" s="147"/>
      <c r="GF53" s="147"/>
      <c r="GG53" s="147"/>
      <c r="GH53" s="147"/>
      <c r="GI53" s="147"/>
      <c r="GJ53" s="147"/>
      <c r="GK53" s="147"/>
      <c r="GL53" s="147"/>
      <c r="GM53" s="147"/>
      <c r="GN53" s="147"/>
      <c r="GO53" s="147"/>
      <c r="GP53" s="147"/>
      <c r="GQ53" s="147"/>
      <c r="GR53" s="147"/>
      <c r="GS53" s="147"/>
      <c r="GT53" s="147"/>
      <c r="GU53" s="147"/>
      <c r="GV53" s="147"/>
      <c r="GW53" s="147"/>
      <c r="GX53" s="147"/>
      <c r="GY53" s="147"/>
      <c r="GZ53" s="147"/>
      <c r="HA53" s="147"/>
      <c r="HB53" s="147"/>
      <c r="HC53" s="147"/>
      <c r="HD53" s="147"/>
      <c r="HE53" s="147"/>
      <c r="HF53" s="147"/>
      <c r="HG53" s="147"/>
      <c r="HH53" s="147"/>
      <c r="HI53" s="147"/>
      <c r="HJ53" s="147"/>
      <c r="HK53" s="147"/>
      <c r="HL53" s="147"/>
      <c r="HM53" s="147"/>
      <c r="HN53" s="147"/>
      <c r="HO53" s="147"/>
      <c r="HP53" s="147"/>
      <c r="HQ53" s="147"/>
      <c r="HR53" s="147"/>
      <c r="HS53" s="147"/>
      <c r="HT53" s="147"/>
      <c r="HU53" s="147"/>
      <c r="HV53" s="147"/>
      <c r="HW53" s="147"/>
      <c r="HX53" s="147"/>
      <c r="HY53" s="147"/>
      <c r="HZ53" s="147"/>
      <c r="IA53" s="147"/>
      <c r="IB53" s="147"/>
      <c r="IC53" s="147"/>
      <c r="ID53" s="147"/>
      <c r="IE53" s="147"/>
      <c r="IF53" s="147"/>
      <c r="IG53" s="147"/>
      <c r="IH53" s="147"/>
      <c r="II53" s="147"/>
      <c r="IJ53" s="147"/>
      <c r="IK53" s="147"/>
      <c r="IL53" s="147"/>
      <c r="IM53" s="147"/>
      <c r="IN53" s="147"/>
      <c r="IO53" s="147"/>
      <c r="IP53" s="147"/>
      <c r="IQ53" s="147"/>
      <c r="IR53" s="147"/>
      <c r="IS53" s="147"/>
      <c r="IT53" s="147"/>
      <c r="IU53" s="147"/>
      <c r="IV53" s="147"/>
      <c r="IW53" s="147"/>
      <c r="IX53" s="147"/>
      <c r="IY53" s="147"/>
      <c r="IZ53" s="147"/>
      <c r="JA53" s="147"/>
      <c r="JB53" s="147"/>
      <c r="JC53" s="147"/>
      <c r="JD53" s="147"/>
      <c r="JE53" s="147"/>
      <c r="JF53" s="147"/>
      <c r="JG53" s="147"/>
      <c r="JH53" s="147"/>
      <c r="JI53" s="147"/>
    </row>
    <row r="54" spans="1:269" ht="16" x14ac:dyDescent="0.2">
      <c r="A54" s="222">
        <v>43708</v>
      </c>
      <c r="B54" s="159">
        <v>2019</v>
      </c>
      <c r="C54" s="146" t="s">
        <v>31</v>
      </c>
      <c r="D54" s="159">
        <v>269</v>
      </c>
      <c r="E54" s="159">
        <v>12</v>
      </c>
      <c r="H54" s="167">
        <v>96</v>
      </c>
      <c r="I54" s="167"/>
      <c r="J54" s="157">
        <v>303</v>
      </c>
      <c r="K54" s="157">
        <v>1607.57</v>
      </c>
      <c r="L54" s="157"/>
      <c r="M54" s="157">
        <v>0</v>
      </c>
      <c r="N54" s="157">
        <v>108</v>
      </c>
      <c r="O54" s="157">
        <v>38</v>
      </c>
      <c r="P54" s="157">
        <v>257</v>
      </c>
      <c r="Q54" s="157"/>
      <c r="R54" s="162">
        <v>2409.5700000000002</v>
      </c>
      <c r="S54" s="51">
        <f>SUM(J54+K54+M54+N54+O54)/R54</f>
        <v>0.853500832098673</v>
      </c>
      <c r="T54" s="51">
        <f t="shared" si="6"/>
        <v>4.4821275165278451E-2</v>
      </c>
      <c r="U54" s="51">
        <f t="shared" si="10"/>
        <v>0.14649916790132678</v>
      </c>
      <c r="Y54" s="157">
        <f t="shared" si="8"/>
        <v>8.9575092936802978</v>
      </c>
      <c r="Z54" s="158">
        <f t="shared" si="9"/>
        <v>200.79750000000001</v>
      </c>
      <c r="AA54" s="147" t="s">
        <v>36</v>
      </c>
      <c r="AB54" s="146" t="s">
        <v>123</v>
      </c>
      <c r="AC54" s="147"/>
      <c r="AD54" s="147"/>
      <c r="AE54" s="147"/>
      <c r="AF54" s="147"/>
      <c r="AG54" s="147"/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147"/>
      <c r="AW54" s="147"/>
      <c r="AX54" s="147"/>
      <c r="AY54" s="147"/>
      <c r="AZ54" s="147"/>
      <c r="BA54" s="147"/>
      <c r="BB54" s="147"/>
      <c r="BC54" s="147"/>
      <c r="BD54" s="147"/>
      <c r="BE54" s="147"/>
      <c r="BF54" s="147"/>
      <c r="BG54" s="147"/>
      <c r="BH54" s="147"/>
      <c r="BI54" s="147"/>
      <c r="BJ54" s="147"/>
      <c r="BK54" s="147"/>
      <c r="BL54" s="147"/>
      <c r="BM54" s="147"/>
      <c r="BN54" s="147"/>
      <c r="BO54" s="147"/>
      <c r="BP54" s="147"/>
      <c r="BQ54" s="147"/>
      <c r="BR54" s="147"/>
      <c r="BS54" s="147"/>
      <c r="BT54" s="147"/>
      <c r="BU54" s="147"/>
      <c r="BV54" s="147"/>
      <c r="BW54" s="147"/>
      <c r="BX54" s="147"/>
      <c r="BY54" s="147"/>
      <c r="BZ54" s="147"/>
      <c r="CA54" s="147"/>
      <c r="CB54" s="147"/>
      <c r="CC54" s="147"/>
      <c r="CD54" s="147"/>
      <c r="CE54" s="147"/>
      <c r="CF54" s="147"/>
      <c r="CG54" s="147"/>
      <c r="CH54" s="147"/>
      <c r="CI54" s="147"/>
      <c r="CJ54" s="147"/>
      <c r="CK54" s="147"/>
      <c r="CL54" s="147"/>
      <c r="CM54" s="147"/>
      <c r="CN54" s="147"/>
      <c r="CO54" s="147"/>
      <c r="CP54" s="147"/>
      <c r="CQ54" s="147"/>
      <c r="CR54" s="147"/>
      <c r="CS54" s="147"/>
      <c r="CT54" s="147"/>
      <c r="CU54" s="147"/>
      <c r="CV54" s="147"/>
      <c r="CW54" s="147"/>
      <c r="CX54" s="147"/>
      <c r="CY54" s="147"/>
      <c r="CZ54" s="147"/>
      <c r="DA54" s="147"/>
      <c r="DB54" s="147"/>
      <c r="DC54" s="147"/>
      <c r="DD54" s="147"/>
      <c r="DE54" s="147"/>
      <c r="DF54" s="147"/>
      <c r="DG54" s="147"/>
      <c r="DH54" s="147"/>
      <c r="DI54" s="147"/>
      <c r="DJ54" s="147"/>
      <c r="DK54" s="147"/>
      <c r="DL54" s="147"/>
      <c r="DM54" s="147"/>
      <c r="DN54" s="147"/>
      <c r="DO54" s="147"/>
      <c r="DP54" s="147"/>
      <c r="DQ54" s="147"/>
      <c r="DR54" s="147"/>
      <c r="DS54" s="147"/>
      <c r="DT54" s="147"/>
      <c r="DU54" s="147"/>
      <c r="DV54" s="147"/>
      <c r="DW54" s="147"/>
      <c r="DX54" s="147"/>
      <c r="DY54" s="147"/>
      <c r="DZ54" s="147"/>
      <c r="EA54" s="147"/>
      <c r="EB54" s="147"/>
      <c r="EC54" s="147"/>
      <c r="ED54" s="147"/>
      <c r="EE54" s="147"/>
      <c r="EF54" s="147"/>
      <c r="EG54" s="147"/>
      <c r="EH54" s="147"/>
      <c r="EI54" s="147"/>
      <c r="EJ54" s="147"/>
      <c r="EK54" s="147"/>
      <c r="EL54" s="147"/>
      <c r="EM54" s="147"/>
      <c r="EN54" s="147"/>
      <c r="EO54" s="147"/>
      <c r="EP54" s="147"/>
      <c r="EQ54" s="147"/>
      <c r="ER54" s="147"/>
      <c r="ES54" s="147"/>
      <c r="ET54" s="147"/>
      <c r="EU54" s="147"/>
      <c r="EV54" s="147"/>
      <c r="EW54" s="147"/>
      <c r="EX54" s="147"/>
      <c r="EY54" s="147"/>
      <c r="EZ54" s="147"/>
      <c r="FA54" s="147"/>
      <c r="FB54" s="147"/>
      <c r="FC54" s="147"/>
      <c r="FD54" s="147"/>
      <c r="FE54" s="147"/>
      <c r="FF54" s="147"/>
      <c r="FG54" s="147"/>
      <c r="FH54" s="147"/>
      <c r="FI54" s="147"/>
      <c r="FJ54" s="147"/>
      <c r="FK54" s="147"/>
      <c r="FL54" s="147"/>
      <c r="FM54" s="147"/>
      <c r="FN54" s="147"/>
      <c r="FO54" s="147"/>
      <c r="FP54" s="147"/>
      <c r="FQ54" s="147"/>
      <c r="FR54" s="147"/>
      <c r="FS54" s="147"/>
      <c r="FT54" s="147"/>
      <c r="FU54" s="147"/>
      <c r="FV54" s="147"/>
      <c r="FW54" s="147"/>
      <c r="FX54" s="147"/>
      <c r="FY54" s="147"/>
      <c r="FZ54" s="147"/>
      <c r="GA54" s="147"/>
      <c r="GB54" s="147"/>
      <c r="GC54" s="147"/>
      <c r="GD54" s="147"/>
      <c r="GE54" s="147"/>
      <c r="GF54" s="147"/>
      <c r="GG54" s="147"/>
      <c r="GH54" s="147"/>
      <c r="GI54" s="147"/>
      <c r="GJ54" s="147"/>
      <c r="GK54" s="147"/>
      <c r="GL54" s="147"/>
      <c r="GM54" s="147"/>
      <c r="GN54" s="147"/>
      <c r="GO54" s="147"/>
      <c r="GP54" s="147"/>
      <c r="GQ54" s="147"/>
      <c r="GR54" s="147"/>
      <c r="GS54" s="147"/>
      <c r="GT54" s="147"/>
      <c r="GU54" s="147"/>
      <c r="GV54" s="147"/>
      <c r="GW54" s="147"/>
      <c r="GX54" s="147"/>
      <c r="GY54" s="147"/>
      <c r="GZ54" s="147"/>
      <c r="HA54" s="147"/>
      <c r="HB54" s="147"/>
      <c r="HC54" s="147"/>
      <c r="HD54" s="147"/>
      <c r="HE54" s="147"/>
      <c r="HF54" s="147"/>
      <c r="HG54" s="147"/>
      <c r="HH54" s="147"/>
      <c r="HI54" s="147"/>
      <c r="HJ54" s="147"/>
      <c r="HK54" s="147"/>
      <c r="HL54" s="147"/>
      <c r="HM54" s="147"/>
      <c r="HN54" s="147"/>
      <c r="HO54" s="147"/>
      <c r="HP54" s="147"/>
      <c r="HQ54" s="147"/>
      <c r="HR54" s="147"/>
      <c r="HS54" s="147"/>
      <c r="HT54" s="147"/>
      <c r="HU54" s="147"/>
      <c r="HV54" s="147"/>
      <c r="HW54" s="147"/>
      <c r="HX54" s="147"/>
      <c r="HY54" s="147"/>
      <c r="HZ54" s="147"/>
      <c r="IA54" s="147"/>
      <c r="IB54" s="147"/>
      <c r="IC54" s="147"/>
      <c r="ID54" s="147"/>
      <c r="IE54" s="147"/>
      <c r="IF54" s="147"/>
      <c r="IG54" s="147"/>
      <c r="IH54" s="147"/>
      <c r="II54" s="147"/>
      <c r="IJ54" s="147"/>
      <c r="IK54" s="147"/>
      <c r="IL54" s="147"/>
      <c r="IM54" s="147"/>
      <c r="IN54" s="147"/>
      <c r="IO54" s="147"/>
      <c r="IP54" s="147"/>
      <c r="IQ54" s="147"/>
      <c r="IR54" s="147"/>
      <c r="IS54" s="147"/>
      <c r="IT54" s="147"/>
      <c r="IU54" s="147"/>
      <c r="IV54" s="147"/>
      <c r="IW54" s="147"/>
      <c r="IX54" s="147"/>
      <c r="IY54" s="147"/>
      <c r="IZ54" s="147"/>
      <c r="JA54" s="147"/>
      <c r="JB54" s="147"/>
      <c r="JC54" s="147"/>
      <c r="JD54" s="147"/>
      <c r="JE54" s="147"/>
      <c r="JF54" s="147"/>
      <c r="JG54" s="147"/>
      <c r="JH54" s="147"/>
      <c r="JI54" s="147"/>
    </row>
    <row r="55" spans="1:269" ht="16" x14ac:dyDescent="0.2">
      <c r="A55" s="222">
        <v>43715</v>
      </c>
      <c r="B55" s="159">
        <v>2019</v>
      </c>
      <c r="C55" s="145" t="s">
        <v>32</v>
      </c>
      <c r="D55" s="159">
        <v>221</v>
      </c>
      <c r="E55" s="159">
        <v>12</v>
      </c>
      <c r="H55" s="167">
        <v>13.05</v>
      </c>
      <c r="I55" s="167"/>
      <c r="J55" s="157">
        <v>420</v>
      </c>
      <c r="K55" s="157">
        <v>1463</v>
      </c>
      <c r="L55" s="157"/>
      <c r="M55" s="157">
        <v>0</v>
      </c>
      <c r="N55" s="157">
        <v>48</v>
      </c>
      <c r="O55" s="157">
        <v>24</v>
      </c>
      <c r="P55" s="157">
        <v>396</v>
      </c>
      <c r="Q55" s="157"/>
      <c r="R55" s="162">
        <v>2364.0500000000002</v>
      </c>
      <c r="S55" s="51">
        <f>SUM(J55+K55+M55+N55+O55)/R55</f>
        <v>0.82697066474905345</v>
      </c>
      <c r="T55" s="51">
        <f t="shared" si="6"/>
        <v>2.0304139083352719E-2</v>
      </c>
      <c r="U55" s="51">
        <f t="shared" si="10"/>
        <v>0.17302933525094646</v>
      </c>
      <c r="Y55" s="157">
        <f t="shared" si="8"/>
        <v>10.697058823529412</v>
      </c>
      <c r="Z55" s="158">
        <f t="shared" si="9"/>
        <v>197.00416666666669</v>
      </c>
      <c r="AA55" s="147" t="s">
        <v>35</v>
      </c>
      <c r="AB55" s="146" t="s">
        <v>123</v>
      </c>
      <c r="AC55" s="147"/>
      <c r="AD55" s="147"/>
      <c r="AE55" s="147"/>
      <c r="AF55" s="147"/>
      <c r="AG55" s="147"/>
      <c r="AH55" s="147"/>
      <c r="AI55" s="147"/>
      <c r="AJ55" s="147"/>
      <c r="AK55" s="147"/>
      <c r="AL55" s="147"/>
      <c r="AM55" s="147"/>
      <c r="AN55" s="147"/>
      <c r="AO55" s="147"/>
      <c r="AP55" s="147"/>
      <c r="AQ55" s="147"/>
      <c r="AR55" s="147"/>
      <c r="AS55" s="147"/>
      <c r="AT55" s="147"/>
      <c r="AU55" s="147"/>
      <c r="AV55" s="147"/>
      <c r="AW55" s="147"/>
      <c r="AX55" s="147"/>
      <c r="AY55" s="147"/>
      <c r="AZ55" s="147"/>
      <c r="BA55" s="147"/>
      <c r="BB55" s="147"/>
      <c r="BC55" s="147"/>
      <c r="BD55" s="147"/>
      <c r="BE55" s="147"/>
      <c r="BF55" s="147"/>
      <c r="BG55" s="147"/>
      <c r="BH55" s="147"/>
      <c r="BI55" s="147"/>
      <c r="BJ55" s="147"/>
      <c r="BK55" s="147"/>
      <c r="BL55" s="147"/>
      <c r="BM55" s="147"/>
      <c r="BN55" s="147"/>
      <c r="BO55" s="147"/>
      <c r="BP55" s="147"/>
      <c r="BQ55" s="147"/>
      <c r="BR55" s="147"/>
      <c r="BS55" s="147"/>
      <c r="BT55" s="147"/>
      <c r="BU55" s="147"/>
      <c r="BV55" s="147"/>
      <c r="BW55" s="147"/>
      <c r="BX55" s="147"/>
      <c r="BY55" s="147"/>
      <c r="BZ55" s="147"/>
      <c r="CA55" s="147"/>
      <c r="CB55" s="147"/>
      <c r="CC55" s="147"/>
      <c r="CD55" s="147"/>
      <c r="CE55" s="147"/>
      <c r="CF55" s="147"/>
      <c r="CG55" s="147"/>
      <c r="CH55" s="147"/>
      <c r="CI55" s="147"/>
      <c r="CJ55" s="147"/>
      <c r="CK55" s="147"/>
      <c r="CL55" s="147"/>
      <c r="CM55" s="147"/>
      <c r="CN55" s="147"/>
      <c r="CO55" s="147"/>
      <c r="CP55" s="147"/>
      <c r="CQ55" s="147"/>
      <c r="CR55" s="147"/>
      <c r="CS55" s="147"/>
      <c r="CT55" s="147"/>
      <c r="CU55" s="147"/>
      <c r="CV55" s="147"/>
      <c r="CW55" s="147"/>
      <c r="CX55" s="147"/>
      <c r="CY55" s="147"/>
      <c r="CZ55" s="147"/>
      <c r="DA55" s="147"/>
      <c r="DB55" s="147"/>
      <c r="DC55" s="147"/>
      <c r="DD55" s="147"/>
      <c r="DE55" s="147"/>
      <c r="DF55" s="147"/>
      <c r="DG55" s="147"/>
      <c r="DH55" s="147"/>
      <c r="DI55" s="147"/>
      <c r="DJ55" s="147"/>
      <c r="DK55" s="147"/>
      <c r="DL55" s="147"/>
      <c r="DM55" s="147"/>
      <c r="DN55" s="147"/>
      <c r="DO55" s="147"/>
      <c r="DP55" s="147"/>
      <c r="DQ55" s="147"/>
      <c r="DR55" s="147"/>
      <c r="DS55" s="147"/>
      <c r="DT55" s="147"/>
      <c r="DU55" s="147"/>
      <c r="DV55" s="147"/>
      <c r="DW55" s="147"/>
      <c r="DX55" s="147"/>
      <c r="DY55" s="147"/>
      <c r="DZ55" s="147"/>
      <c r="EA55" s="147"/>
      <c r="EB55" s="147"/>
      <c r="EC55" s="147"/>
      <c r="ED55" s="147"/>
      <c r="EE55" s="147"/>
      <c r="EF55" s="147"/>
      <c r="EG55" s="147"/>
      <c r="EH55" s="147"/>
      <c r="EI55" s="147"/>
      <c r="EJ55" s="147"/>
      <c r="EK55" s="147"/>
      <c r="EL55" s="147"/>
      <c r="EM55" s="147"/>
      <c r="EN55" s="147"/>
      <c r="EO55" s="147"/>
      <c r="EP55" s="147"/>
      <c r="EQ55" s="147"/>
      <c r="ER55" s="147"/>
      <c r="ES55" s="147"/>
      <c r="ET55" s="147"/>
      <c r="EU55" s="147"/>
      <c r="EV55" s="147"/>
      <c r="EW55" s="147"/>
      <c r="EX55" s="147"/>
      <c r="EY55" s="147"/>
      <c r="EZ55" s="147"/>
      <c r="FA55" s="147"/>
      <c r="FB55" s="147"/>
      <c r="FC55" s="147"/>
      <c r="FD55" s="147"/>
      <c r="FE55" s="147"/>
      <c r="FF55" s="147"/>
      <c r="FG55" s="147"/>
      <c r="FH55" s="147"/>
      <c r="FI55" s="147"/>
      <c r="FJ55" s="147"/>
      <c r="FK55" s="147"/>
      <c r="FL55" s="147"/>
      <c r="FM55" s="147"/>
      <c r="FN55" s="147"/>
      <c r="FO55" s="147"/>
      <c r="FP55" s="147"/>
      <c r="FQ55" s="147"/>
      <c r="FR55" s="147"/>
      <c r="FS55" s="147"/>
      <c r="FT55" s="147"/>
      <c r="FU55" s="147"/>
      <c r="FV55" s="147"/>
      <c r="FW55" s="147"/>
      <c r="FX55" s="147"/>
      <c r="FY55" s="147"/>
      <c r="FZ55" s="147"/>
      <c r="GA55" s="147"/>
      <c r="GB55" s="147"/>
      <c r="GC55" s="147"/>
      <c r="GD55" s="147"/>
      <c r="GE55" s="147"/>
      <c r="GF55" s="147"/>
      <c r="GG55" s="147"/>
      <c r="GH55" s="147"/>
      <c r="GI55" s="147"/>
      <c r="GJ55" s="147"/>
      <c r="GK55" s="147"/>
      <c r="GL55" s="147"/>
      <c r="GM55" s="147"/>
      <c r="GN55" s="147"/>
      <c r="GO55" s="147"/>
      <c r="GP55" s="147"/>
      <c r="GQ55" s="147"/>
      <c r="GR55" s="147"/>
      <c r="GS55" s="147"/>
      <c r="GT55" s="147"/>
      <c r="GU55" s="147"/>
      <c r="GV55" s="147"/>
      <c r="GW55" s="147"/>
      <c r="GX55" s="147"/>
      <c r="GY55" s="147"/>
      <c r="GZ55" s="147"/>
      <c r="HA55" s="147"/>
      <c r="HB55" s="147"/>
      <c r="HC55" s="147"/>
      <c r="HD55" s="147"/>
      <c r="HE55" s="147"/>
      <c r="HF55" s="147"/>
      <c r="HG55" s="147"/>
      <c r="HH55" s="147"/>
      <c r="HI55" s="147"/>
      <c r="HJ55" s="147"/>
      <c r="HK55" s="147"/>
      <c r="HL55" s="147"/>
      <c r="HM55" s="147"/>
      <c r="HN55" s="147"/>
      <c r="HO55" s="147"/>
      <c r="HP55" s="147"/>
      <c r="HQ55" s="147"/>
      <c r="HR55" s="147"/>
      <c r="HS55" s="147"/>
      <c r="HT55" s="147"/>
      <c r="HU55" s="147"/>
      <c r="HV55" s="147"/>
      <c r="HW55" s="147"/>
      <c r="HX55" s="147"/>
      <c r="HY55" s="147"/>
      <c r="HZ55" s="147"/>
      <c r="IA55" s="147"/>
      <c r="IB55" s="147"/>
      <c r="IC55" s="147"/>
      <c r="ID55" s="147"/>
      <c r="IE55" s="147"/>
      <c r="IF55" s="147"/>
      <c r="IG55" s="147"/>
      <c r="IH55" s="147"/>
      <c r="II55" s="147"/>
      <c r="IJ55" s="147"/>
      <c r="IK55" s="147"/>
      <c r="IL55" s="147"/>
      <c r="IM55" s="147"/>
      <c r="IN55" s="147"/>
      <c r="IO55" s="147"/>
      <c r="IP55" s="147"/>
      <c r="IQ55" s="147"/>
      <c r="IR55" s="147"/>
      <c r="IS55" s="147"/>
      <c r="IT55" s="147"/>
      <c r="IU55" s="147"/>
      <c r="IV55" s="147"/>
      <c r="IW55" s="147"/>
      <c r="IX55" s="147"/>
      <c r="IY55" s="147"/>
      <c r="IZ55" s="147"/>
      <c r="JA55" s="147"/>
      <c r="JB55" s="147"/>
      <c r="JC55" s="147"/>
      <c r="JD55" s="147"/>
      <c r="JE55" s="147"/>
      <c r="JF55" s="147"/>
      <c r="JG55" s="147"/>
      <c r="JH55" s="147"/>
      <c r="JI55" s="147"/>
    </row>
    <row r="56" spans="1:269" ht="16" x14ac:dyDescent="0.2">
      <c r="A56" s="222">
        <v>43722</v>
      </c>
      <c r="B56" s="159">
        <v>2019</v>
      </c>
      <c r="C56" s="145" t="s">
        <v>32</v>
      </c>
      <c r="D56" s="159">
        <v>168</v>
      </c>
      <c r="E56" s="159">
        <v>11</v>
      </c>
      <c r="H56" s="167">
        <v>58</v>
      </c>
      <c r="I56" s="167"/>
      <c r="J56" s="157">
        <v>350</v>
      </c>
      <c r="K56" s="157">
        <v>1215.02</v>
      </c>
      <c r="L56" s="157"/>
      <c r="M56" s="157">
        <v>0</v>
      </c>
      <c r="N56" s="157">
        <v>86</v>
      </c>
      <c r="O56" s="157">
        <v>26</v>
      </c>
      <c r="P56" s="157">
        <v>304.5</v>
      </c>
      <c r="Q56" s="157"/>
      <c r="R56" s="162">
        <v>2039.52</v>
      </c>
      <c r="S56" s="51">
        <f>SUM(J56+K56+M56+N56+O56)/R56</f>
        <v>0.8222621008864831</v>
      </c>
      <c r="T56" s="51">
        <f t="shared" si="6"/>
        <v>4.2166784341413667E-2</v>
      </c>
      <c r="U56" s="51">
        <f t="shared" si="10"/>
        <v>0.1777378991135169</v>
      </c>
      <c r="Y56" s="157">
        <f t="shared" si="8"/>
        <v>12.14</v>
      </c>
      <c r="Z56" s="158">
        <f t="shared" si="9"/>
        <v>185.41090909090909</v>
      </c>
      <c r="AA56" s="147" t="s">
        <v>22</v>
      </c>
      <c r="AB56" s="146" t="s">
        <v>123</v>
      </c>
      <c r="AC56" s="147"/>
      <c r="AD56" s="147"/>
      <c r="AE56" s="147"/>
      <c r="AF56" s="147"/>
      <c r="AG56" s="147"/>
      <c r="AH56" s="147"/>
      <c r="AI56" s="147"/>
      <c r="AJ56" s="147"/>
      <c r="AK56" s="147"/>
      <c r="AL56" s="147"/>
      <c r="AM56" s="147"/>
      <c r="AN56" s="147"/>
      <c r="AO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  <c r="BA56" s="147"/>
      <c r="BB56" s="147"/>
      <c r="BC56" s="147"/>
      <c r="BD56" s="147"/>
      <c r="BE56" s="147"/>
      <c r="BF56" s="147"/>
      <c r="BG56" s="147"/>
      <c r="BH56" s="147"/>
      <c r="BI56" s="147"/>
      <c r="BJ56" s="147"/>
      <c r="BK56" s="147"/>
      <c r="BL56" s="147"/>
      <c r="BM56" s="147"/>
      <c r="BN56" s="147"/>
      <c r="BO56" s="147"/>
      <c r="BP56" s="147"/>
      <c r="BQ56" s="147"/>
      <c r="BR56" s="147"/>
      <c r="BS56" s="147"/>
      <c r="BT56" s="147"/>
      <c r="BU56" s="147"/>
      <c r="BV56" s="147"/>
      <c r="BW56" s="147"/>
      <c r="BX56" s="147"/>
      <c r="BY56" s="147"/>
      <c r="BZ56" s="147"/>
      <c r="CA56" s="147"/>
      <c r="CB56" s="147"/>
      <c r="CC56" s="147"/>
      <c r="CD56" s="147"/>
      <c r="CE56" s="147"/>
      <c r="CF56" s="147"/>
      <c r="CG56" s="147"/>
      <c r="CH56" s="147"/>
      <c r="CI56" s="147"/>
      <c r="CJ56" s="147"/>
      <c r="CK56" s="147"/>
      <c r="CL56" s="147"/>
      <c r="CM56" s="147"/>
      <c r="CN56" s="147"/>
      <c r="CO56" s="147"/>
      <c r="CP56" s="147"/>
      <c r="CQ56" s="147"/>
      <c r="CR56" s="147"/>
      <c r="CS56" s="147"/>
      <c r="CT56" s="147"/>
      <c r="CU56" s="147"/>
      <c r="CV56" s="147"/>
      <c r="CW56" s="147"/>
      <c r="CX56" s="147"/>
      <c r="CY56" s="147"/>
      <c r="CZ56" s="147"/>
      <c r="DA56" s="147"/>
      <c r="DB56" s="147"/>
      <c r="DC56" s="147"/>
      <c r="DD56" s="147"/>
      <c r="DE56" s="147"/>
      <c r="DF56" s="147"/>
      <c r="DG56" s="147"/>
      <c r="DH56" s="147"/>
      <c r="DI56" s="147"/>
      <c r="DJ56" s="147"/>
      <c r="DK56" s="147"/>
      <c r="DL56" s="147"/>
      <c r="DM56" s="147"/>
      <c r="DN56" s="147"/>
      <c r="DO56" s="147"/>
      <c r="DP56" s="147"/>
      <c r="DQ56" s="147"/>
      <c r="DR56" s="147"/>
      <c r="DS56" s="147"/>
      <c r="DT56" s="147"/>
      <c r="DU56" s="147"/>
      <c r="DV56" s="147"/>
      <c r="DW56" s="147"/>
      <c r="DX56" s="147"/>
      <c r="DY56" s="147"/>
      <c r="DZ56" s="147"/>
      <c r="EA56" s="147"/>
      <c r="EB56" s="147"/>
      <c r="EC56" s="147"/>
      <c r="ED56" s="147"/>
      <c r="EE56" s="147"/>
      <c r="EF56" s="147"/>
      <c r="EG56" s="147"/>
      <c r="EH56" s="147"/>
      <c r="EI56" s="147"/>
      <c r="EJ56" s="147"/>
      <c r="EK56" s="147"/>
      <c r="EL56" s="147"/>
      <c r="EM56" s="147"/>
      <c r="EN56" s="147"/>
      <c r="EO56" s="147"/>
      <c r="EP56" s="147"/>
      <c r="EQ56" s="147"/>
      <c r="ER56" s="147"/>
      <c r="ES56" s="147"/>
      <c r="ET56" s="147"/>
      <c r="EU56" s="147"/>
      <c r="EV56" s="147"/>
      <c r="EW56" s="147"/>
      <c r="EX56" s="147"/>
      <c r="EY56" s="147"/>
      <c r="EZ56" s="147"/>
      <c r="FA56" s="147"/>
      <c r="FB56" s="147"/>
      <c r="FC56" s="147"/>
      <c r="FD56" s="147"/>
      <c r="FE56" s="147"/>
      <c r="FF56" s="147"/>
      <c r="FG56" s="147"/>
      <c r="FH56" s="147"/>
      <c r="FI56" s="147"/>
      <c r="FJ56" s="147"/>
      <c r="FK56" s="147"/>
      <c r="FL56" s="147"/>
      <c r="FM56" s="147"/>
      <c r="FN56" s="147"/>
      <c r="FO56" s="147"/>
      <c r="FP56" s="147"/>
      <c r="FQ56" s="147"/>
      <c r="FR56" s="147"/>
      <c r="FS56" s="147"/>
      <c r="FT56" s="147"/>
      <c r="FU56" s="147"/>
      <c r="FV56" s="147"/>
      <c r="FW56" s="147"/>
      <c r="FX56" s="147"/>
      <c r="FY56" s="147"/>
      <c r="FZ56" s="147"/>
      <c r="GA56" s="147"/>
      <c r="GB56" s="147"/>
      <c r="GC56" s="147"/>
      <c r="GD56" s="147"/>
      <c r="GE56" s="147"/>
      <c r="GF56" s="147"/>
      <c r="GG56" s="147"/>
      <c r="GH56" s="147"/>
      <c r="GI56" s="147"/>
      <c r="GJ56" s="147"/>
      <c r="GK56" s="147"/>
      <c r="GL56" s="147"/>
      <c r="GM56" s="147"/>
      <c r="GN56" s="147"/>
      <c r="GO56" s="147"/>
      <c r="GP56" s="147"/>
      <c r="GQ56" s="147"/>
      <c r="GR56" s="147"/>
      <c r="GS56" s="147"/>
      <c r="GT56" s="147"/>
      <c r="GU56" s="147"/>
      <c r="GV56" s="147"/>
      <c r="GW56" s="147"/>
      <c r="GX56" s="147"/>
      <c r="GY56" s="147"/>
      <c r="GZ56" s="147"/>
      <c r="HA56" s="147"/>
      <c r="HB56" s="147"/>
      <c r="HC56" s="147"/>
      <c r="HD56" s="147"/>
      <c r="HE56" s="147"/>
      <c r="HF56" s="147"/>
      <c r="HG56" s="147"/>
      <c r="HH56" s="147"/>
      <c r="HI56" s="147"/>
      <c r="HJ56" s="147"/>
      <c r="HK56" s="147"/>
      <c r="HL56" s="147"/>
      <c r="HM56" s="147"/>
      <c r="HN56" s="147"/>
      <c r="HO56" s="147"/>
      <c r="HP56" s="147"/>
      <c r="HQ56" s="147"/>
      <c r="HR56" s="147"/>
      <c r="HS56" s="147"/>
      <c r="HT56" s="147"/>
      <c r="HU56" s="147"/>
      <c r="HV56" s="147"/>
      <c r="HW56" s="147"/>
      <c r="HX56" s="147"/>
      <c r="HY56" s="147"/>
      <c r="HZ56" s="147"/>
      <c r="IA56" s="147"/>
      <c r="IB56" s="147"/>
      <c r="IC56" s="147"/>
      <c r="ID56" s="147"/>
      <c r="IE56" s="147"/>
      <c r="IF56" s="147"/>
      <c r="IG56" s="147"/>
      <c r="IH56" s="147"/>
      <c r="II56" s="147"/>
      <c r="IJ56" s="147"/>
      <c r="IK56" s="147"/>
      <c r="IL56" s="147"/>
      <c r="IM56" s="147"/>
      <c r="IN56" s="147"/>
      <c r="IO56" s="147"/>
      <c r="IP56" s="147"/>
      <c r="IQ56" s="147"/>
      <c r="IR56" s="147"/>
      <c r="IS56" s="147"/>
      <c r="IT56" s="147"/>
      <c r="IU56" s="147"/>
      <c r="IV56" s="147"/>
      <c r="IW56" s="147"/>
      <c r="IX56" s="147"/>
      <c r="IY56" s="147"/>
      <c r="IZ56" s="147"/>
      <c r="JA56" s="147"/>
      <c r="JB56" s="147"/>
      <c r="JC56" s="147"/>
      <c r="JD56" s="147"/>
      <c r="JE56" s="147"/>
      <c r="JF56" s="147"/>
      <c r="JG56" s="147"/>
      <c r="JH56" s="147"/>
      <c r="JI56" s="147"/>
    </row>
    <row r="57" spans="1:269" ht="16" x14ac:dyDescent="0.2">
      <c r="A57" s="222">
        <v>43729</v>
      </c>
      <c r="B57" s="159">
        <v>2019</v>
      </c>
      <c r="C57" s="145" t="s">
        <v>32</v>
      </c>
      <c r="D57" s="159">
        <v>217</v>
      </c>
      <c r="E57" s="159">
        <v>10</v>
      </c>
      <c r="H57" s="167">
        <v>69</v>
      </c>
      <c r="I57" s="167"/>
      <c r="J57" s="157">
        <v>280</v>
      </c>
      <c r="K57" s="157">
        <v>1158.75</v>
      </c>
      <c r="L57" s="157"/>
      <c r="M57" s="157">
        <v>0</v>
      </c>
      <c r="N57" s="157">
        <v>136</v>
      </c>
      <c r="O57" s="157">
        <v>44</v>
      </c>
      <c r="P57" s="157">
        <v>371</v>
      </c>
      <c r="Q57" s="157"/>
      <c r="R57" s="162">
        <v>2058.75</v>
      </c>
      <c r="S57" s="51">
        <f>SUM(J57+K57+M57+N57+O57)/R57</f>
        <v>0.78627808136004862</v>
      </c>
      <c r="T57" s="51">
        <f t="shared" si="6"/>
        <v>6.60595021250759E-2</v>
      </c>
      <c r="U57" s="51">
        <f t="shared" si="10"/>
        <v>0.21372191863995144</v>
      </c>
      <c r="Y57" s="157">
        <f t="shared" si="8"/>
        <v>9.4873271889400925</v>
      </c>
      <c r="Z57" s="158">
        <f t="shared" si="9"/>
        <v>205.875</v>
      </c>
      <c r="AA57" s="147" t="s">
        <v>22</v>
      </c>
      <c r="AB57" s="146" t="s">
        <v>123</v>
      </c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147"/>
      <c r="BC57" s="147"/>
      <c r="BD57" s="147"/>
      <c r="BE57" s="147"/>
      <c r="BF57" s="147"/>
      <c r="BG57" s="147"/>
      <c r="BH57" s="147"/>
      <c r="BI57" s="147"/>
      <c r="BJ57" s="147"/>
      <c r="BK57" s="147"/>
      <c r="BL57" s="147"/>
      <c r="BM57" s="147"/>
      <c r="BN57" s="147"/>
      <c r="BO57" s="147"/>
      <c r="BP57" s="147"/>
      <c r="BQ57" s="147"/>
      <c r="BR57" s="147"/>
      <c r="BS57" s="147"/>
      <c r="BT57" s="147"/>
      <c r="BU57" s="147"/>
      <c r="BV57" s="147"/>
      <c r="BW57" s="147"/>
      <c r="BX57" s="147"/>
      <c r="BY57" s="147"/>
      <c r="BZ57" s="147"/>
      <c r="CA57" s="147"/>
      <c r="CB57" s="147"/>
      <c r="CC57" s="147"/>
      <c r="CD57" s="147"/>
      <c r="CE57" s="147"/>
      <c r="CF57" s="147"/>
      <c r="CG57" s="147"/>
      <c r="CH57" s="147"/>
      <c r="CI57" s="147"/>
      <c r="CJ57" s="147"/>
      <c r="CK57" s="147"/>
      <c r="CL57" s="147"/>
      <c r="CM57" s="147"/>
      <c r="CN57" s="147"/>
      <c r="CO57" s="147"/>
      <c r="CP57" s="147"/>
      <c r="CQ57" s="147"/>
      <c r="CR57" s="147"/>
      <c r="CS57" s="147"/>
      <c r="CT57" s="147"/>
      <c r="CU57" s="147"/>
      <c r="CV57" s="147"/>
      <c r="CW57" s="147"/>
      <c r="CX57" s="147"/>
      <c r="CY57" s="147"/>
      <c r="CZ57" s="147"/>
      <c r="DA57" s="147"/>
      <c r="DB57" s="147"/>
      <c r="DC57" s="147"/>
      <c r="DD57" s="147"/>
      <c r="DE57" s="147"/>
      <c r="DF57" s="147"/>
      <c r="DG57" s="147"/>
      <c r="DH57" s="147"/>
      <c r="DI57" s="147"/>
      <c r="DJ57" s="147"/>
      <c r="DK57" s="147"/>
      <c r="DL57" s="147"/>
      <c r="DM57" s="147"/>
      <c r="DN57" s="147"/>
      <c r="DO57" s="147"/>
      <c r="DP57" s="147"/>
      <c r="DQ57" s="147"/>
      <c r="DR57" s="147"/>
      <c r="DS57" s="147"/>
      <c r="DT57" s="147"/>
      <c r="DU57" s="147"/>
      <c r="DV57" s="147"/>
      <c r="DW57" s="147"/>
      <c r="DX57" s="147"/>
      <c r="DY57" s="147"/>
      <c r="DZ57" s="147"/>
      <c r="EA57" s="147"/>
      <c r="EB57" s="147"/>
      <c r="EC57" s="147"/>
      <c r="ED57" s="147"/>
      <c r="EE57" s="147"/>
      <c r="EF57" s="147"/>
      <c r="EG57" s="147"/>
      <c r="EH57" s="147"/>
      <c r="EI57" s="147"/>
      <c r="EJ57" s="147"/>
      <c r="EK57" s="147"/>
      <c r="EL57" s="147"/>
      <c r="EM57" s="147"/>
      <c r="EN57" s="147"/>
      <c r="EO57" s="147"/>
      <c r="EP57" s="147"/>
      <c r="EQ57" s="147"/>
      <c r="ER57" s="147"/>
      <c r="ES57" s="147"/>
      <c r="ET57" s="147"/>
      <c r="EU57" s="147"/>
      <c r="EV57" s="147"/>
      <c r="EW57" s="147"/>
      <c r="EX57" s="147"/>
      <c r="EY57" s="147"/>
      <c r="EZ57" s="147"/>
      <c r="FA57" s="147"/>
      <c r="FB57" s="147"/>
      <c r="FC57" s="147"/>
      <c r="FD57" s="147"/>
      <c r="FE57" s="147"/>
      <c r="FF57" s="147"/>
      <c r="FG57" s="147"/>
      <c r="FH57" s="147"/>
      <c r="FI57" s="147"/>
      <c r="FJ57" s="147"/>
      <c r="FK57" s="147"/>
      <c r="FL57" s="147"/>
      <c r="FM57" s="147"/>
      <c r="FN57" s="147"/>
      <c r="FO57" s="147"/>
      <c r="FP57" s="147"/>
      <c r="FQ57" s="147"/>
      <c r="FR57" s="147"/>
      <c r="FS57" s="147"/>
      <c r="FT57" s="147"/>
      <c r="FU57" s="147"/>
      <c r="FV57" s="147"/>
      <c r="FW57" s="147"/>
      <c r="FX57" s="147"/>
      <c r="FY57" s="147"/>
      <c r="FZ57" s="147"/>
      <c r="GA57" s="147"/>
      <c r="GB57" s="147"/>
      <c r="GC57" s="147"/>
      <c r="GD57" s="147"/>
      <c r="GE57" s="147"/>
      <c r="GF57" s="147"/>
      <c r="GG57" s="147"/>
      <c r="GH57" s="147"/>
      <c r="GI57" s="147"/>
      <c r="GJ57" s="147"/>
      <c r="GK57" s="147"/>
      <c r="GL57" s="147"/>
      <c r="GM57" s="147"/>
      <c r="GN57" s="147"/>
      <c r="GO57" s="147"/>
      <c r="GP57" s="147"/>
      <c r="GQ57" s="147"/>
      <c r="GR57" s="147"/>
      <c r="GS57" s="147"/>
      <c r="GT57" s="147"/>
      <c r="GU57" s="147"/>
      <c r="GV57" s="147"/>
      <c r="GW57" s="147"/>
      <c r="GX57" s="147"/>
      <c r="GY57" s="147"/>
      <c r="GZ57" s="147"/>
      <c r="HA57" s="147"/>
      <c r="HB57" s="147"/>
      <c r="HC57" s="147"/>
      <c r="HD57" s="147"/>
      <c r="HE57" s="147"/>
      <c r="HF57" s="147"/>
      <c r="HG57" s="147"/>
      <c r="HH57" s="147"/>
      <c r="HI57" s="147"/>
      <c r="HJ57" s="147"/>
      <c r="HK57" s="147"/>
      <c r="HL57" s="147"/>
      <c r="HM57" s="147"/>
      <c r="HN57" s="147"/>
      <c r="HO57" s="147"/>
      <c r="HP57" s="147"/>
      <c r="HQ57" s="147"/>
      <c r="HR57" s="147"/>
      <c r="HS57" s="147"/>
      <c r="HT57" s="147"/>
      <c r="HU57" s="147"/>
      <c r="HV57" s="147"/>
      <c r="HW57" s="147"/>
      <c r="HX57" s="147"/>
      <c r="HY57" s="147"/>
      <c r="HZ57" s="147"/>
      <c r="IA57" s="147"/>
      <c r="IB57" s="147"/>
      <c r="IC57" s="147"/>
      <c r="ID57" s="147"/>
      <c r="IE57" s="147"/>
      <c r="IF57" s="147"/>
      <c r="IG57" s="147"/>
      <c r="IH57" s="147"/>
      <c r="II57" s="147"/>
      <c r="IJ57" s="147"/>
      <c r="IK57" s="147"/>
      <c r="IL57" s="147"/>
      <c r="IM57" s="147"/>
      <c r="IN57" s="147"/>
      <c r="IO57" s="147"/>
      <c r="IP57" s="147"/>
      <c r="IQ57" s="147"/>
      <c r="IR57" s="147"/>
      <c r="IS57" s="147"/>
      <c r="IT57" s="147"/>
      <c r="IU57" s="147"/>
      <c r="IV57" s="147"/>
      <c r="IW57" s="147"/>
      <c r="IX57" s="147"/>
      <c r="IY57" s="147"/>
      <c r="IZ57" s="147"/>
      <c r="JA57" s="147"/>
      <c r="JB57" s="147"/>
      <c r="JC57" s="147"/>
      <c r="JD57" s="147"/>
      <c r="JE57" s="147"/>
      <c r="JF57" s="147"/>
      <c r="JG57" s="147"/>
      <c r="JH57" s="147"/>
      <c r="JI57" s="147"/>
    </row>
    <row r="58" spans="1:269" ht="16" x14ac:dyDescent="0.2">
      <c r="A58" s="222">
        <v>44002</v>
      </c>
      <c r="B58" s="159">
        <v>2020</v>
      </c>
      <c r="C58" s="145" t="s">
        <v>29</v>
      </c>
      <c r="D58" s="159">
        <v>139</v>
      </c>
      <c r="E58" s="159">
        <v>7</v>
      </c>
      <c r="F58" s="157">
        <v>0</v>
      </c>
      <c r="G58" s="157"/>
      <c r="H58" s="157"/>
      <c r="I58" s="157"/>
      <c r="J58" s="157">
        <v>160</v>
      </c>
      <c r="K58" s="157">
        <v>712.6</v>
      </c>
      <c r="L58" s="157"/>
      <c r="M58" s="157">
        <v>0</v>
      </c>
      <c r="N58" s="157">
        <v>0</v>
      </c>
      <c r="O58" s="157"/>
      <c r="P58" s="157">
        <v>236.5</v>
      </c>
      <c r="Q58" s="157"/>
      <c r="R58" s="162">
        <f t="shared" ref="R58:R79" si="11">SUM(F58:P58)</f>
        <v>1109.0999999999999</v>
      </c>
      <c r="S58" s="51">
        <f t="shared" ref="S58:S79" si="12">SUM(J58+K58+M58+N58)/R58</f>
        <v>0.78676404291768109</v>
      </c>
      <c r="T58" s="51">
        <f t="shared" si="6"/>
        <v>0</v>
      </c>
      <c r="U58" s="51">
        <f>(F58+P58)/R58</f>
        <v>0.21323595708231902</v>
      </c>
      <c r="V58" s="157">
        <v>140</v>
      </c>
      <c r="W58" s="154">
        <v>7</v>
      </c>
      <c r="X58" s="154"/>
      <c r="Y58" s="157">
        <f t="shared" si="8"/>
        <v>7.979136690647481</v>
      </c>
      <c r="Z58" s="158">
        <f t="shared" si="9"/>
        <v>158.44285714285712</v>
      </c>
      <c r="AA58" s="147" t="s">
        <v>17</v>
      </c>
      <c r="AB58" s="146" t="s">
        <v>123</v>
      </c>
    </row>
    <row r="59" spans="1:269" ht="16" x14ac:dyDescent="0.2">
      <c r="A59" s="222">
        <v>44009</v>
      </c>
      <c r="B59" s="159">
        <v>2020</v>
      </c>
      <c r="C59" s="145" t="s">
        <v>29</v>
      </c>
      <c r="D59" s="154">
        <v>157</v>
      </c>
      <c r="E59" s="154">
        <v>8</v>
      </c>
      <c r="F59" s="157">
        <v>0</v>
      </c>
      <c r="G59" s="157"/>
      <c r="H59" s="157"/>
      <c r="I59" s="157"/>
      <c r="J59" s="157">
        <v>191</v>
      </c>
      <c r="K59" s="157">
        <v>734.5</v>
      </c>
      <c r="L59" s="157"/>
      <c r="M59" s="157">
        <v>0</v>
      </c>
      <c r="N59" s="157">
        <v>0</v>
      </c>
      <c r="O59" s="157"/>
      <c r="P59" s="157">
        <v>375</v>
      </c>
      <c r="Q59" s="157"/>
      <c r="R59" s="162">
        <f t="shared" si="11"/>
        <v>1300.5</v>
      </c>
      <c r="S59" s="51">
        <f t="shared" si="12"/>
        <v>0.71164936562860437</v>
      </c>
      <c r="T59" s="51">
        <f t="shared" si="6"/>
        <v>0</v>
      </c>
      <c r="U59" s="51">
        <f>P59/R59</f>
        <v>0.28835063437139563</v>
      </c>
      <c r="V59" s="157">
        <v>104</v>
      </c>
      <c r="W59" s="154">
        <v>4</v>
      </c>
      <c r="X59" s="154"/>
      <c r="Y59" s="157">
        <f t="shared" si="8"/>
        <v>8.2834394904458595</v>
      </c>
      <c r="Z59" s="158">
        <f t="shared" si="9"/>
        <v>162.5625</v>
      </c>
      <c r="AA59" s="147"/>
      <c r="AB59" s="146" t="s">
        <v>123</v>
      </c>
    </row>
    <row r="60" spans="1:269" ht="16" x14ac:dyDescent="0.2">
      <c r="A60" s="222">
        <v>44016</v>
      </c>
      <c r="B60" s="159">
        <v>2020</v>
      </c>
      <c r="C60" s="145" t="s">
        <v>30</v>
      </c>
      <c r="D60" s="154">
        <v>221</v>
      </c>
      <c r="E60" s="154">
        <v>6</v>
      </c>
      <c r="F60" s="157">
        <v>0</v>
      </c>
      <c r="G60" s="157"/>
      <c r="H60" s="157"/>
      <c r="I60" s="157"/>
      <c r="J60" s="157">
        <v>365.5</v>
      </c>
      <c r="K60" s="157">
        <v>1301</v>
      </c>
      <c r="L60" s="157"/>
      <c r="M60" s="157">
        <v>15</v>
      </c>
      <c r="N60" s="157">
        <v>12</v>
      </c>
      <c r="O60" s="157"/>
      <c r="P60" s="157">
        <v>176</v>
      </c>
      <c r="Q60" s="157"/>
      <c r="R60" s="162">
        <f t="shared" si="11"/>
        <v>1869.5</v>
      </c>
      <c r="S60" s="51">
        <f t="shared" si="12"/>
        <v>0.90585718106445579</v>
      </c>
      <c r="T60" s="51">
        <f t="shared" ref="T60:T79" si="13">SUM(M60+N60)/R60</f>
        <v>1.4442364268520995E-2</v>
      </c>
      <c r="U60" s="51">
        <f>(F60+P60)/R60</f>
        <v>9.4142818935544256E-2</v>
      </c>
      <c r="V60" s="157">
        <v>241.5</v>
      </c>
      <c r="W60" s="154">
        <v>7</v>
      </c>
      <c r="X60" s="154"/>
      <c r="Y60" s="157">
        <f t="shared" si="8"/>
        <v>8.4592760180995477</v>
      </c>
      <c r="Z60" s="158">
        <f t="shared" si="9"/>
        <v>311.58333333333331</v>
      </c>
      <c r="AA60" s="147" t="s">
        <v>18</v>
      </c>
      <c r="AB60" s="146" t="s">
        <v>123</v>
      </c>
    </row>
    <row r="61" spans="1:269" ht="16" x14ac:dyDescent="0.2">
      <c r="A61" s="222">
        <v>44023</v>
      </c>
      <c r="B61" s="159">
        <v>2020</v>
      </c>
      <c r="C61" s="145" t="s">
        <v>30</v>
      </c>
      <c r="D61" s="154">
        <v>200</v>
      </c>
      <c r="E61" s="154">
        <v>8</v>
      </c>
      <c r="F61" s="157">
        <v>30</v>
      </c>
      <c r="G61" s="157"/>
      <c r="H61" s="157"/>
      <c r="I61" s="157"/>
      <c r="J61" s="157">
        <v>396.5</v>
      </c>
      <c r="K61" s="157">
        <v>749.45</v>
      </c>
      <c r="L61" s="157"/>
      <c r="M61" s="157">
        <v>104</v>
      </c>
      <c r="N61" s="157">
        <v>36</v>
      </c>
      <c r="O61" s="157"/>
      <c r="P61" s="157">
        <v>299.5</v>
      </c>
      <c r="Q61" s="157"/>
      <c r="R61" s="162">
        <f t="shared" si="11"/>
        <v>1615.45</v>
      </c>
      <c r="S61" s="51">
        <f t="shared" si="12"/>
        <v>0.79603206536878268</v>
      </c>
      <c r="T61" s="51">
        <f t="shared" si="13"/>
        <v>8.6663158872140891E-2</v>
      </c>
      <c r="U61" s="51">
        <f>(F61+P61)/R61</f>
        <v>0.20396793463121729</v>
      </c>
      <c r="V61" s="157">
        <v>77</v>
      </c>
      <c r="W61" s="154">
        <v>4</v>
      </c>
      <c r="X61" s="154"/>
      <c r="Y61" s="157">
        <f t="shared" si="8"/>
        <v>8.0772499999999994</v>
      </c>
      <c r="Z61" s="158">
        <f t="shared" si="9"/>
        <v>201.93125000000001</v>
      </c>
      <c r="AA61" s="147"/>
      <c r="AB61" s="146" t="s">
        <v>123</v>
      </c>
    </row>
    <row r="62" spans="1:269" ht="16" x14ac:dyDescent="0.2">
      <c r="A62" s="222">
        <v>44030</v>
      </c>
      <c r="B62" s="159">
        <v>2020</v>
      </c>
      <c r="C62" s="145" t="s">
        <v>30</v>
      </c>
      <c r="D62" s="154">
        <v>148</v>
      </c>
      <c r="E62" s="154">
        <v>5</v>
      </c>
      <c r="F62" s="157">
        <v>62</v>
      </c>
      <c r="G62" s="157"/>
      <c r="H62" s="157"/>
      <c r="I62" s="157"/>
      <c r="J62" s="157">
        <v>545</v>
      </c>
      <c r="K62" s="157">
        <v>1158</v>
      </c>
      <c r="L62" s="157"/>
      <c r="M62" s="157">
        <v>0</v>
      </c>
      <c r="N62" s="157">
        <v>4</v>
      </c>
      <c r="O62" s="157"/>
      <c r="P62" s="157">
        <v>153.5</v>
      </c>
      <c r="Q62" s="157"/>
      <c r="R62" s="162">
        <f t="shared" si="11"/>
        <v>1922.5</v>
      </c>
      <c r="S62" s="51">
        <f t="shared" si="12"/>
        <v>0.88790637191157351</v>
      </c>
      <c r="T62" s="51">
        <f t="shared" si="13"/>
        <v>2.0806241872561768E-3</v>
      </c>
      <c r="U62" s="51">
        <f>P62/R62</f>
        <v>7.9843953185955788E-2</v>
      </c>
      <c r="V62" s="157">
        <v>244.5</v>
      </c>
      <c r="W62" s="154">
        <v>7</v>
      </c>
      <c r="X62" s="154"/>
      <c r="Y62" s="157">
        <f t="shared" si="8"/>
        <v>12.989864864864865</v>
      </c>
      <c r="Z62" s="158">
        <f t="shared" si="9"/>
        <v>384.5</v>
      </c>
      <c r="AA62" s="147"/>
      <c r="AB62" s="146" t="s">
        <v>123</v>
      </c>
    </row>
    <row r="63" spans="1:269" ht="16" x14ac:dyDescent="0.2">
      <c r="A63" s="222">
        <v>44037</v>
      </c>
      <c r="B63" s="159">
        <v>2020</v>
      </c>
      <c r="C63" s="145" t="s">
        <v>30</v>
      </c>
      <c r="D63" s="154">
        <v>204</v>
      </c>
      <c r="E63" s="154">
        <v>7</v>
      </c>
      <c r="F63" s="157">
        <v>42</v>
      </c>
      <c r="G63" s="157"/>
      <c r="H63" s="157"/>
      <c r="I63" s="157"/>
      <c r="J63" s="157">
        <v>521</v>
      </c>
      <c r="K63" s="157">
        <v>1573.2</v>
      </c>
      <c r="L63" s="157"/>
      <c r="M63" s="157">
        <v>0</v>
      </c>
      <c r="N63" s="157">
        <v>32</v>
      </c>
      <c r="O63" s="157"/>
      <c r="P63" s="157">
        <v>229</v>
      </c>
      <c r="Q63" s="157"/>
      <c r="R63" s="162">
        <f t="shared" si="11"/>
        <v>2397.1999999999998</v>
      </c>
      <c r="S63" s="51">
        <f t="shared" si="12"/>
        <v>0.88695144335057563</v>
      </c>
      <c r="T63" s="51">
        <f t="shared" si="13"/>
        <v>1.3348907058234608E-2</v>
      </c>
      <c r="U63" s="51">
        <f>(F63+P63)/R63</f>
        <v>0.11304855664942434</v>
      </c>
      <c r="V63" s="157">
        <v>115.5</v>
      </c>
      <c r="W63" s="154">
        <v>5</v>
      </c>
      <c r="X63" s="154"/>
      <c r="Y63" s="157">
        <f t="shared" si="8"/>
        <v>11.750980392156862</v>
      </c>
      <c r="Z63" s="158">
        <f t="shared" si="9"/>
        <v>342.45714285714286</v>
      </c>
      <c r="AA63" s="147"/>
      <c r="AB63" s="146" t="s">
        <v>123</v>
      </c>
    </row>
    <row r="64" spans="1:269" ht="16" x14ac:dyDescent="0.2">
      <c r="A64" s="222">
        <v>44044</v>
      </c>
      <c r="B64" s="159">
        <v>2020</v>
      </c>
      <c r="C64" s="145" t="s">
        <v>31</v>
      </c>
      <c r="D64" s="154">
        <v>259</v>
      </c>
      <c r="E64" s="159">
        <v>8</v>
      </c>
      <c r="F64" s="157">
        <v>67</v>
      </c>
      <c r="G64" s="157"/>
      <c r="H64" s="157"/>
      <c r="I64" s="157"/>
      <c r="J64" s="157">
        <v>705</v>
      </c>
      <c r="K64" s="157">
        <v>1393.5</v>
      </c>
      <c r="L64" s="157"/>
      <c r="M64" s="157">
        <v>12</v>
      </c>
      <c r="N64" s="157">
        <v>28</v>
      </c>
      <c r="O64" s="157"/>
      <c r="P64" s="157">
        <v>297</v>
      </c>
      <c r="Q64" s="157"/>
      <c r="R64" s="162">
        <f t="shared" si="11"/>
        <v>2502.5</v>
      </c>
      <c r="S64" s="51">
        <f t="shared" si="12"/>
        <v>0.8545454545454545</v>
      </c>
      <c r="T64" s="51">
        <f t="shared" si="13"/>
        <v>1.5984015984015984E-2</v>
      </c>
      <c r="U64" s="51">
        <f>(F64+P64)/R64</f>
        <v>0.14545454545454545</v>
      </c>
      <c r="V64" s="157">
        <v>93</v>
      </c>
      <c r="W64" s="154">
        <v>3</v>
      </c>
      <c r="X64" s="154"/>
      <c r="Y64" s="157">
        <f t="shared" si="8"/>
        <v>9.6621621621621614</v>
      </c>
      <c r="Z64" s="158">
        <f t="shared" si="9"/>
        <v>312.8125</v>
      </c>
      <c r="AA64" s="147" t="s">
        <v>19</v>
      </c>
      <c r="AB64" s="146" t="s">
        <v>123</v>
      </c>
    </row>
    <row r="65" spans="1:269" ht="16" x14ac:dyDescent="0.2">
      <c r="A65" s="222">
        <v>44051</v>
      </c>
      <c r="B65" s="159">
        <v>2020</v>
      </c>
      <c r="C65" s="145" t="s">
        <v>31</v>
      </c>
      <c r="D65" s="163">
        <v>164</v>
      </c>
      <c r="E65" s="165">
        <v>8</v>
      </c>
      <c r="F65" s="157">
        <v>12</v>
      </c>
      <c r="G65" s="157"/>
      <c r="H65" s="157"/>
      <c r="I65" s="157"/>
      <c r="J65" s="157">
        <v>448</v>
      </c>
      <c r="K65" s="157">
        <v>1333.5</v>
      </c>
      <c r="L65" s="157"/>
      <c r="M65" s="157">
        <v>0</v>
      </c>
      <c r="N65" s="157">
        <v>0</v>
      </c>
      <c r="O65" s="157"/>
      <c r="P65" s="157">
        <v>150</v>
      </c>
      <c r="Q65" s="157"/>
      <c r="R65" s="162">
        <f t="shared" si="11"/>
        <v>1943.5</v>
      </c>
      <c r="S65" s="51">
        <f t="shared" si="12"/>
        <v>0.91664522768201695</v>
      </c>
      <c r="T65" s="51">
        <f t="shared" si="13"/>
        <v>0</v>
      </c>
      <c r="U65" s="51">
        <f>P65/R65</f>
        <v>7.7180344738873169E-2</v>
      </c>
      <c r="V65" s="157">
        <v>226</v>
      </c>
      <c r="W65" s="154">
        <v>5</v>
      </c>
      <c r="X65" s="154"/>
      <c r="Y65" s="157">
        <f t="shared" si="8"/>
        <v>11.850609756097562</v>
      </c>
      <c r="Z65" s="158">
        <f t="shared" si="9"/>
        <v>242.9375</v>
      </c>
      <c r="AA65" s="147"/>
      <c r="AB65" s="146" t="s">
        <v>123</v>
      </c>
    </row>
    <row r="66" spans="1:269" ht="16" x14ac:dyDescent="0.2">
      <c r="A66" s="222">
        <v>44058</v>
      </c>
      <c r="B66" s="159">
        <v>2020</v>
      </c>
      <c r="C66" s="145" t="s">
        <v>31</v>
      </c>
      <c r="D66" s="154">
        <v>134</v>
      </c>
      <c r="E66" s="159">
        <v>7</v>
      </c>
      <c r="F66" s="157">
        <v>27</v>
      </c>
      <c r="G66" s="157"/>
      <c r="H66" s="157"/>
      <c r="I66" s="157"/>
      <c r="J66" s="157">
        <v>580</v>
      </c>
      <c r="K66" s="157">
        <v>1244.5</v>
      </c>
      <c r="L66" s="157"/>
      <c r="M66" s="157">
        <v>0</v>
      </c>
      <c r="N66" s="157">
        <v>149</v>
      </c>
      <c r="O66" s="157"/>
      <c r="P66" s="157">
        <v>297.5</v>
      </c>
      <c r="Q66" s="157"/>
      <c r="R66" s="162">
        <f t="shared" si="11"/>
        <v>2298</v>
      </c>
      <c r="S66" s="51">
        <f t="shared" si="12"/>
        <v>0.85879025239338558</v>
      </c>
      <c r="T66" s="51">
        <f t="shared" si="13"/>
        <v>6.4838990426457785E-2</v>
      </c>
      <c r="U66" s="51">
        <f>(F66+P66)/R66</f>
        <v>0.14120974760661445</v>
      </c>
      <c r="V66" s="157">
        <v>9</v>
      </c>
      <c r="W66" s="154">
        <v>1</v>
      </c>
      <c r="X66" s="154"/>
      <c r="Y66" s="157">
        <f t="shared" ref="Y66:Y84" si="14">R66/D66</f>
        <v>17.149253731343283</v>
      </c>
      <c r="Z66" s="158">
        <f t="shared" ref="Z66:Z84" si="15">R66/E66</f>
        <v>328.28571428571428</v>
      </c>
      <c r="AA66" s="147"/>
      <c r="AB66" s="146" t="s">
        <v>123</v>
      </c>
    </row>
    <row r="67" spans="1:269" ht="16" x14ac:dyDescent="0.2">
      <c r="A67" s="222">
        <v>44065</v>
      </c>
      <c r="B67" s="159">
        <v>2020</v>
      </c>
      <c r="C67" s="145" t="s">
        <v>31</v>
      </c>
      <c r="D67" s="159">
        <v>186</v>
      </c>
      <c r="E67" s="159">
        <v>7</v>
      </c>
      <c r="F67" s="157">
        <v>10</v>
      </c>
      <c r="G67" s="157"/>
      <c r="H67" s="157"/>
      <c r="I67" s="157"/>
      <c r="J67" s="157">
        <v>718.5</v>
      </c>
      <c r="K67" s="157">
        <v>1593.28</v>
      </c>
      <c r="L67" s="157"/>
      <c r="M67" s="157">
        <v>20</v>
      </c>
      <c r="N67" s="157">
        <v>142</v>
      </c>
      <c r="O67" s="157"/>
      <c r="P67" s="157">
        <v>254</v>
      </c>
      <c r="Q67" s="157"/>
      <c r="R67" s="162">
        <f t="shared" si="11"/>
        <v>2737.7799999999997</v>
      </c>
      <c r="S67" s="51">
        <f t="shared" si="12"/>
        <v>0.90357150684130938</v>
      </c>
      <c r="T67" s="51">
        <f t="shared" si="13"/>
        <v>5.9172029892832885E-2</v>
      </c>
      <c r="U67" s="51">
        <f>P67/R67</f>
        <v>9.2775898720861436E-2</v>
      </c>
      <c r="V67" s="157">
        <v>313.25</v>
      </c>
      <c r="W67" s="154">
        <v>9</v>
      </c>
      <c r="X67" s="154"/>
      <c r="Y67" s="157">
        <f t="shared" si="14"/>
        <v>14.719247311827955</v>
      </c>
      <c r="Z67" s="158">
        <f t="shared" si="15"/>
        <v>391.11142857142852</v>
      </c>
      <c r="AA67" s="147"/>
      <c r="AB67" s="146" t="s">
        <v>123</v>
      </c>
    </row>
    <row r="68" spans="1:269" ht="16" x14ac:dyDescent="0.2">
      <c r="A68" s="222">
        <v>44072</v>
      </c>
      <c r="B68" s="159">
        <v>2020</v>
      </c>
      <c r="C68" s="145" t="s">
        <v>31</v>
      </c>
      <c r="D68" s="159">
        <v>192</v>
      </c>
      <c r="E68" s="159">
        <v>10</v>
      </c>
      <c r="F68" s="157">
        <v>10</v>
      </c>
      <c r="G68" s="157"/>
      <c r="H68" s="157"/>
      <c r="I68" s="157"/>
      <c r="J68" s="157">
        <v>585.5</v>
      </c>
      <c r="K68" s="157">
        <v>1404.87</v>
      </c>
      <c r="L68" s="157"/>
      <c r="M68" s="157">
        <v>9</v>
      </c>
      <c r="N68" s="157">
        <v>185</v>
      </c>
      <c r="O68" s="157"/>
      <c r="P68" s="157">
        <v>551.5</v>
      </c>
      <c r="Q68" s="157"/>
      <c r="R68" s="162">
        <f t="shared" si="11"/>
        <v>2745.87</v>
      </c>
      <c r="S68" s="51">
        <f t="shared" si="12"/>
        <v>0.79551107663509202</v>
      </c>
      <c r="T68" s="51">
        <f t="shared" si="13"/>
        <v>7.0651560343352016E-2</v>
      </c>
      <c r="U68" s="51">
        <f>(F68+P68)/R68</f>
        <v>0.20448892336490804</v>
      </c>
      <c r="V68" s="157">
        <v>166</v>
      </c>
      <c r="W68" s="154">
        <v>4</v>
      </c>
      <c r="X68" s="154"/>
      <c r="Y68" s="157">
        <f t="shared" si="14"/>
        <v>14.301406249999999</v>
      </c>
      <c r="Z68" s="158">
        <f t="shared" si="15"/>
        <v>274.58699999999999</v>
      </c>
      <c r="AA68" s="147"/>
      <c r="AB68" s="146" t="s">
        <v>123</v>
      </c>
    </row>
    <row r="69" spans="1:269" ht="16" x14ac:dyDescent="0.2">
      <c r="A69" s="222">
        <v>44079</v>
      </c>
      <c r="B69" s="159">
        <v>2020</v>
      </c>
      <c r="C69" s="145" t="s">
        <v>32</v>
      </c>
      <c r="D69" s="159">
        <v>176</v>
      </c>
      <c r="E69" s="159">
        <v>9</v>
      </c>
      <c r="F69" s="157">
        <v>8</v>
      </c>
      <c r="G69" s="157"/>
      <c r="H69" s="157"/>
      <c r="I69" s="157"/>
      <c r="J69" s="157">
        <v>372</v>
      </c>
      <c r="K69" s="157">
        <v>1147</v>
      </c>
      <c r="L69" s="157"/>
      <c r="M69" s="157">
        <v>2</v>
      </c>
      <c r="N69" s="157">
        <v>106</v>
      </c>
      <c r="O69" s="157"/>
      <c r="P69" s="157">
        <v>705.5</v>
      </c>
      <c r="Q69" s="157"/>
      <c r="R69" s="162">
        <f t="shared" si="11"/>
        <v>2340.5</v>
      </c>
      <c r="S69" s="51">
        <f t="shared" si="12"/>
        <v>0.69515060884426405</v>
      </c>
      <c r="T69" s="51">
        <f t="shared" si="13"/>
        <v>4.6143986327707755E-2</v>
      </c>
      <c r="U69" s="51">
        <f>P69/R69</f>
        <v>0.30143131809442425</v>
      </c>
      <c r="V69" s="157">
        <v>44</v>
      </c>
      <c r="W69" s="154">
        <v>1</v>
      </c>
      <c r="X69" s="154"/>
      <c r="Y69" s="157">
        <f t="shared" si="14"/>
        <v>13.298295454545455</v>
      </c>
      <c r="Z69" s="158">
        <f t="shared" si="15"/>
        <v>260.05555555555554</v>
      </c>
      <c r="AA69" s="147"/>
      <c r="AB69" s="146" t="s">
        <v>123</v>
      </c>
    </row>
    <row r="70" spans="1:269" ht="16" x14ac:dyDescent="0.2">
      <c r="A70" s="222">
        <v>44093</v>
      </c>
      <c r="B70" s="159">
        <v>2020</v>
      </c>
      <c r="C70" s="145" t="s">
        <v>32</v>
      </c>
      <c r="D70" s="159">
        <v>133</v>
      </c>
      <c r="E70" s="159">
        <v>9</v>
      </c>
      <c r="F70" s="157">
        <v>17</v>
      </c>
      <c r="G70" s="157"/>
      <c r="H70" s="157"/>
      <c r="I70" s="157"/>
      <c r="J70" s="157">
        <v>290</v>
      </c>
      <c r="K70" s="157">
        <v>1561.53</v>
      </c>
      <c r="L70" s="157"/>
      <c r="M70" s="157">
        <v>0</v>
      </c>
      <c r="N70" s="157">
        <v>80</v>
      </c>
      <c r="O70" s="157"/>
      <c r="P70" s="157">
        <v>235</v>
      </c>
      <c r="Q70" s="157"/>
      <c r="R70" s="162">
        <f t="shared" si="11"/>
        <v>2183.5299999999997</v>
      </c>
      <c r="S70" s="51">
        <f t="shared" si="12"/>
        <v>0.88459054833228767</v>
      </c>
      <c r="T70" s="51">
        <f t="shared" si="13"/>
        <v>3.6637921164353139E-2</v>
      </c>
      <c r="U70" s="51">
        <f>(F70+P70)/R70</f>
        <v>0.11540945166771238</v>
      </c>
      <c r="V70" s="157">
        <v>161.15</v>
      </c>
      <c r="W70" s="154">
        <v>3</v>
      </c>
      <c r="X70" s="154"/>
      <c r="Y70" s="157">
        <f t="shared" si="14"/>
        <v>16.417518796992479</v>
      </c>
      <c r="Z70" s="158">
        <f t="shared" si="15"/>
        <v>242.61444444444442</v>
      </c>
      <c r="AA70" s="147"/>
      <c r="AB70" s="146" t="s">
        <v>123</v>
      </c>
    </row>
    <row r="71" spans="1:269" ht="16" x14ac:dyDescent="0.2">
      <c r="A71" s="222">
        <v>44100</v>
      </c>
      <c r="B71" s="159">
        <v>2020</v>
      </c>
      <c r="C71" s="145" t="s">
        <v>32</v>
      </c>
      <c r="D71" s="159">
        <v>196</v>
      </c>
      <c r="E71" s="159">
        <v>10</v>
      </c>
      <c r="F71" s="157">
        <v>37</v>
      </c>
      <c r="G71" s="157"/>
      <c r="H71" s="157"/>
      <c r="I71" s="157"/>
      <c r="J71" s="157">
        <v>537.5</v>
      </c>
      <c r="K71" s="157">
        <v>1507.72</v>
      </c>
      <c r="L71" s="157"/>
      <c r="M71" s="157">
        <v>0</v>
      </c>
      <c r="N71" s="157">
        <v>54</v>
      </c>
      <c r="O71" s="157"/>
      <c r="P71" s="157">
        <v>1135</v>
      </c>
      <c r="Q71" s="157"/>
      <c r="R71" s="162">
        <f t="shared" si="11"/>
        <v>3271.2200000000003</v>
      </c>
      <c r="S71" s="51">
        <f t="shared" si="12"/>
        <v>0.64172388283270465</v>
      </c>
      <c r="T71" s="51">
        <f t="shared" si="13"/>
        <v>1.6507602668117703E-2</v>
      </c>
      <c r="U71" s="51">
        <f>(F71+P71)/R71</f>
        <v>0.35827611716729535</v>
      </c>
      <c r="V71" s="157">
        <v>404.5</v>
      </c>
      <c r="W71" s="154">
        <v>5</v>
      </c>
      <c r="X71" s="154"/>
      <c r="Y71" s="157">
        <f t="shared" si="14"/>
        <v>16.689897959183675</v>
      </c>
      <c r="Z71" s="158">
        <f t="shared" si="15"/>
        <v>327.12200000000001</v>
      </c>
      <c r="AA71" s="147" t="s">
        <v>21</v>
      </c>
      <c r="AB71" s="146" t="s">
        <v>123</v>
      </c>
    </row>
    <row r="72" spans="1:269" ht="16" x14ac:dyDescent="0.2">
      <c r="A72" s="222">
        <v>44352</v>
      </c>
      <c r="B72" s="159">
        <v>2021</v>
      </c>
      <c r="C72" s="146" t="s">
        <v>29</v>
      </c>
      <c r="D72" s="159">
        <v>216</v>
      </c>
      <c r="E72" s="159">
        <v>9</v>
      </c>
      <c r="F72" s="157">
        <v>0</v>
      </c>
      <c r="G72" s="157"/>
      <c r="J72" s="157">
        <v>387</v>
      </c>
      <c r="K72" s="157">
        <v>1010</v>
      </c>
      <c r="L72" s="157"/>
      <c r="M72" s="157">
        <v>0</v>
      </c>
      <c r="N72" s="157">
        <v>0</v>
      </c>
      <c r="P72" s="157">
        <v>738.5</v>
      </c>
      <c r="Q72" s="157"/>
      <c r="R72" s="162">
        <f t="shared" si="11"/>
        <v>2135.5</v>
      </c>
      <c r="S72" s="51">
        <f t="shared" si="12"/>
        <v>0.65417934909857178</v>
      </c>
      <c r="T72" s="51">
        <f t="shared" si="13"/>
        <v>0</v>
      </c>
      <c r="U72" s="51">
        <f>(F72+P72)/R72</f>
        <v>0.34582065090142822</v>
      </c>
      <c r="V72" s="157"/>
      <c r="W72" s="154"/>
      <c r="X72" s="157"/>
      <c r="Y72" s="157">
        <f t="shared" si="14"/>
        <v>9.8865740740740744</v>
      </c>
      <c r="Z72" s="158">
        <f t="shared" si="15"/>
        <v>237.27777777777777</v>
      </c>
      <c r="AA72" s="147"/>
      <c r="AB72" s="146" t="s">
        <v>123</v>
      </c>
      <c r="AC72" s="147"/>
      <c r="AD72" s="147"/>
      <c r="AE72" s="147"/>
      <c r="AF72" s="147"/>
      <c r="AG72" s="147"/>
      <c r="AH72" s="147"/>
      <c r="AI72" s="147"/>
      <c r="AJ72" s="147"/>
      <c r="AK72" s="147"/>
      <c r="AL72" s="147"/>
      <c r="AM72" s="147"/>
      <c r="AN72" s="147"/>
      <c r="AO72" s="147"/>
      <c r="AP72" s="147"/>
      <c r="AQ72" s="147"/>
      <c r="AR72" s="147"/>
      <c r="AS72" s="147"/>
      <c r="AT72" s="147"/>
      <c r="AU72" s="147"/>
      <c r="AV72" s="147"/>
      <c r="AW72" s="147"/>
      <c r="AX72" s="147"/>
      <c r="AY72" s="147"/>
      <c r="AZ72" s="147"/>
      <c r="BA72" s="147"/>
      <c r="BB72" s="147"/>
      <c r="BC72" s="147"/>
      <c r="BD72" s="147"/>
      <c r="BE72" s="147"/>
      <c r="BF72" s="147"/>
      <c r="BG72" s="147"/>
      <c r="BH72" s="147"/>
      <c r="BI72" s="147"/>
      <c r="BJ72" s="147"/>
      <c r="BK72" s="147"/>
      <c r="BL72" s="147"/>
      <c r="BM72" s="147"/>
      <c r="BN72" s="147"/>
      <c r="BO72" s="147"/>
      <c r="BP72" s="147"/>
      <c r="BQ72" s="147"/>
      <c r="BR72" s="147"/>
      <c r="BS72" s="147"/>
      <c r="BT72" s="147"/>
      <c r="BU72" s="147"/>
      <c r="BV72" s="147"/>
      <c r="BW72" s="147"/>
      <c r="BX72" s="147"/>
      <c r="BY72" s="147"/>
      <c r="BZ72" s="147"/>
      <c r="CA72" s="147"/>
      <c r="CB72" s="147"/>
      <c r="CC72" s="147"/>
      <c r="CD72" s="147"/>
      <c r="CE72" s="147"/>
      <c r="CF72" s="147"/>
      <c r="CG72" s="147"/>
      <c r="CH72" s="147"/>
      <c r="CI72" s="147"/>
      <c r="CJ72" s="147"/>
      <c r="CK72" s="147"/>
      <c r="CL72" s="147"/>
      <c r="CM72" s="147"/>
      <c r="CN72" s="147"/>
      <c r="CO72" s="147"/>
      <c r="CP72" s="147"/>
      <c r="CQ72" s="147"/>
      <c r="CR72" s="147"/>
      <c r="CS72" s="147"/>
      <c r="CT72" s="147"/>
      <c r="CU72" s="147"/>
      <c r="CV72" s="147"/>
      <c r="CW72" s="147"/>
      <c r="CX72" s="147"/>
      <c r="CY72" s="147"/>
      <c r="CZ72" s="147"/>
      <c r="DA72" s="147"/>
      <c r="DB72" s="147"/>
      <c r="DC72" s="147"/>
      <c r="DD72" s="147"/>
      <c r="DE72" s="147"/>
      <c r="DF72" s="147"/>
      <c r="DG72" s="147"/>
      <c r="DH72" s="147"/>
      <c r="DI72" s="147"/>
      <c r="DJ72" s="147"/>
      <c r="DK72" s="147"/>
      <c r="DL72" s="147"/>
      <c r="DM72" s="147"/>
      <c r="DN72" s="147"/>
      <c r="DO72" s="147"/>
      <c r="DP72" s="147"/>
      <c r="DQ72" s="147"/>
      <c r="DR72" s="147"/>
      <c r="DS72" s="147"/>
      <c r="DT72" s="147"/>
      <c r="DU72" s="147"/>
      <c r="DV72" s="147"/>
      <c r="DW72" s="147"/>
      <c r="DX72" s="147"/>
      <c r="DY72" s="147"/>
      <c r="DZ72" s="147"/>
      <c r="EA72" s="147"/>
      <c r="EB72" s="147"/>
      <c r="EC72" s="147"/>
      <c r="ED72" s="147"/>
      <c r="EE72" s="147"/>
      <c r="EF72" s="147"/>
      <c r="EG72" s="147"/>
      <c r="EH72" s="147"/>
      <c r="EI72" s="147"/>
      <c r="EJ72" s="147"/>
      <c r="EK72" s="147"/>
      <c r="EL72" s="147"/>
      <c r="EM72" s="147"/>
      <c r="EN72" s="147"/>
      <c r="EO72" s="147"/>
      <c r="EP72" s="147"/>
      <c r="EQ72" s="147"/>
      <c r="ER72" s="147"/>
      <c r="ES72" s="147"/>
      <c r="ET72" s="147"/>
      <c r="EU72" s="147"/>
      <c r="EV72" s="147"/>
      <c r="EW72" s="147"/>
      <c r="EX72" s="147"/>
      <c r="EY72" s="147"/>
      <c r="EZ72" s="147"/>
      <c r="FA72" s="147"/>
      <c r="FB72" s="147"/>
      <c r="FC72" s="147"/>
      <c r="FD72" s="147"/>
      <c r="FE72" s="147"/>
      <c r="FF72" s="147"/>
      <c r="FG72" s="147"/>
      <c r="FH72" s="147"/>
      <c r="FI72" s="147"/>
      <c r="FJ72" s="147"/>
      <c r="FK72" s="147"/>
      <c r="FL72" s="147"/>
      <c r="FM72" s="147"/>
      <c r="FN72" s="147"/>
      <c r="FO72" s="147"/>
      <c r="FP72" s="147"/>
      <c r="FQ72" s="147"/>
      <c r="FR72" s="147"/>
      <c r="FS72" s="147"/>
      <c r="FT72" s="147"/>
      <c r="FU72" s="147"/>
      <c r="FV72" s="147"/>
      <c r="FW72" s="147"/>
      <c r="FX72" s="147"/>
      <c r="FY72" s="147"/>
      <c r="FZ72" s="147"/>
      <c r="GA72" s="147"/>
      <c r="GB72" s="147"/>
      <c r="GC72" s="147"/>
      <c r="GD72" s="147"/>
      <c r="GE72" s="147"/>
      <c r="GF72" s="147"/>
      <c r="GG72" s="147"/>
      <c r="GH72" s="147"/>
      <c r="GI72" s="147"/>
      <c r="GJ72" s="147"/>
      <c r="GK72" s="147"/>
      <c r="GL72" s="147"/>
      <c r="GM72" s="147"/>
      <c r="GN72" s="147"/>
      <c r="GO72" s="147"/>
      <c r="GP72" s="147"/>
      <c r="GQ72" s="147"/>
      <c r="GR72" s="147"/>
      <c r="GS72" s="147"/>
      <c r="GT72" s="147"/>
      <c r="GU72" s="147"/>
      <c r="GV72" s="147"/>
      <c r="GW72" s="147"/>
      <c r="GX72" s="147"/>
      <c r="GY72" s="147"/>
      <c r="GZ72" s="147"/>
      <c r="HA72" s="147"/>
      <c r="HB72" s="147"/>
      <c r="HC72" s="147"/>
      <c r="HD72" s="147"/>
      <c r="HE72" s="147"/>
      <c r="HF72" s="147"/>
      <c r="HG72" s="147"/>
      <c r="HH72" s="147"/>
      <c r="HI72" s="147"/>
      <c r="HJ72" s="147"/>
      <c r="HK72" s="147"/>
      <c r="HL72" s="147"/>
      <c r="HM72" s="147"/>
      <c r="HN72" s="147"/>
      <c r="HO72" s="147"/>
      <c r="HP72" s="147"/>
      <c r="HQ72" s="147"/>
      <c r="HR72" s="147"/>
      <c r="HS72" s="147"/>
      <c r="HT72" s="147"/>
      <c r="HU72" s="147"/>
      <c r="HV72" s="147"/>
      <c r="HW72" s="147"/>
      <c r="HX72" s="147"/>
      <c r="HY72" s="147"/>
      <c r="HZ72" s="147"/>
      <c r="IA72" s="147"/>
      <c r="IB72" s="147"/>
      <c r="IC72" s="147"/>
      <c r="ID72" s="147"/>
      <c r="IE72" s="147"/>
      <c r="IF72" s="147"/>
      <c r="IG72" s="147"/>
      <c r="IH72" s="147"/>
      <c r="II72" s="147"/>
      <c r="IJ72" s="147"/>
      <c r="IK72" s="147"/>
      <c r="IL72" s="147"/>
      <c r="IM72" s="147"/>
      <c r="IN72" s="147"/>
      <c r="IO72" s="147"/>
      <c r="IP72" s="147"/>
      <c r="IQ72" s="147"/>
      <c r="IR72" s="147"/>
      <c r="IS72" s="147"/>
      <c r="IT72" s="147"/>
      <c r="IU72" s="147"/>
      <c r="IV72" s="147"/>
      <c r="IW72" s="147"/>
      <c r="IX72" s="147"/>
      <c r="IY72" s="147"/>
      <c r="IZ72" s="147"/>
      <c r="JA72" s="147"/>
      <c r="JB72" s="147"/>
      <c r="JC72" s="147"/>
      <c r="JD72" s="147"/>
      <c r="JE72" s="147"/>
      <c r="JF72" s="147"/>
      <c r="JG72" s="147"/>
      <c r="JH72" s="147"/>
      <c r="JI72" s="147"/>
    </row>
    <row r="73" spans="1:269" ht="16" x14ac:dyDescent="0.2">
      <c r="A73" s="222">
        <v>44359</v>
      </c>
      <c r="B73" s="159">
        <v>2021</v>
      </c>
      <c r="C73" s="146" t="s">
        <v>29</v>
      </c>
      <c r="D73" s="154">
        <v>253</v>
      </c>
      <c r="E73" s="154">
        <v>9</v>
      </c>
      <c r="F73" s="157">
        <v>90</v>
      </c>
      <c r="G73" s="157"/>
      <c r="J73" s="157">
        <v>770</v>
      </c>
      <c r="K73" s="157">
        <v>870</v>
      </c>
      <c r="L73" s="157"/>
      <c r="M73" s="157">
        <v>24</v>
      </c>
      <c r="N73" s="157">
        <v>0</v>
      </c>
      <c r="P73" s="157">
        <v>1511.5</v>
      </c>
      <c r="Q73" s="157"/>
      <c r="R73" s="162">
        <f t="shared" si="11"/>
        <v>3265.5</v>
      </c>
      <c r="S73" s="51">
        <f t="shared" si="12"/>
        <v>0.50956974429643243</v>
      </c>
      <c r="T73" s="51">
        <f t="shared" si="13"/>
        <v>7.3495636196600827E-3</v>
      </c>
      <c r="U73" s="51">
        <f>P73/R73</f>
        <v>0.46286939212984229</v>
      </c>
      <c r="V73" s="157"/>
      <c r="W73" s="154"/>
      <c r="X73" s="157">
        <v>10</v>
      </c>
      <c r="Y73" s="157">
        <f t="shared" si="14"/>
        <v>12.90711462450593</v>
      </c>
      <c r="Z73" s="158">
        <f t="shared" si="15"/>
        <v>362.83333333333331</v>
      </c>
      <c r="AA73" s="147"/>
      <c r="AB73" s="146" t="s">
        <v>123</v>
      </c>
    </row>
    <row r="74" spans="1:269" ht="16" x14ac:dyDescent="0.2">
      <c r="A74" s="222">
        <v>44366</v>
      </c>
      <c r="B74" s="159">
        <v>2021</v>
      </c>
      <c r="C74" s="146" t="s">
        <v>29</v>
      </c>
      <c r="D74" s="154">
        <v>311</v>
      </c>
      <c r="E74" s="154">
        <v>12</v>
      </c>
      <c r="F74" s="157">
        <v>45</v>
      </c>
      <c r="G74" s="157"/>
      <c r="J74" s="157">
        <v>920</v>
      </c>
      <c r="K74" s="157">
        <v>1164</v>
      </c>
      <c r="L74" s="157"/>
      <c r="M74" s="157">
        <v>30</v>
      </c>
      <c r="N74" s="157">
        <v>0</v>
      </c>
      <c r="P74" s="157">
        <v>1532.5</v>
      </c>
      <c r="Q74" s="157"/>
      <c r="R74" s="162">
        <f t="shared" si="11"/>
        <v>3691.5</v>
      </c>
      <c r="S74" s="51">
        <f t="shared" si="12"/>
        <v>0.57266693755925779</v>
      </c>
      <c r="T74" s="51">
        <f t="shared" si="13"/>
        <v>8.126777732629013E-3</v>
      </c>
      <c r="U74" s="51">
        <f>(F74+P74)/R74</f>
        <v>0.42733306244074226</v>
      </c>
      <c r="V74" s="157"/>
      <c r="W74" s="154"/>
      <c r="X74" s="157">
        <v>10</v>
      </c>
      <c r="Y74" s="157">
        <f t="shared" si="14"/>
        <v>11.869774919614148</v>
      </c>
      <c r="Z74" s="158">
        <f t="shared" si="15"/>
        <v>307.625</v>
      </c>
      <c r="AA74" s="147"/>
      <c r="AB74" s="146" t="s">
        <v>123</v>
      </c>
    </row>
    <row r="75" spans="1:269" ht="16" x14ac:dyDescent="0.2">
      <c r="A75" s="222">
        <v>44373</v>
      </c>
      <c r="B75" s="159">
        <v>2021</v>
      </c>
      <c r="C75" s="146" t="s">
        <v>29</v>
      </c>
      <c r="D75" s="154">
        <v>176</v>
      </c>
      <c r="E75" s="154">
        <v>5</v>
      </c>
      <c r="F75" s="157">
        <v>40</v>
      </c>
      <c r="G75" s="157"/>
      <c r="J75" s="157">
        <v>750</v>
      </c>
      <c r="K75" s="157">
        <v>855</v>
      </c>
      <c r="L75" s="157"/>
      <c r="M75" s="157">
        <v>0</v>
      </c>
      <c r="N75" s="157">
        <v>4</v>
      </c>
      <c r="P75" s="157">
        <v>206</v>
      </c>
      <c r="Q75" s="157"/>
      <c r="R75" s="162">
        <f t="shared" si="11"/>
        <v>1855</v>
      </c>
      <c r="S75" s="51">
        <f t="shared" si="12"/>
        <v>0.86738544474393531</v>
      </c>
      <c r="T75" s="51">
        <f t="shared" si="13"/>
        <v>2.1563342318059301E-3</v>
      </c>
      <c r="U75" s="51">
        <f>(F75+P75)/R75</f>
        <v>0.13261455525606469</v>
      </c>
      <c r="V75" s="157"/>
      <c r="W75" s="154"/>
      <c r="X75" s="157"/>
      <c r="Y75" s="157">
        <f t="shared" si="14"/>
        <v>10.539772727272727</v>
      </c>
      <c r="Z75" s="158">
        <f t="shared" si="15"/>
        <v>371</v>
      </c>
      <c r="AA75" s="147" t="s">
        <v>52</v>
      </c>
      <c r="AB75" s="146" t="s">
        <v>123</v>
      </c>
    </row>
    <row r="76" spans="1:269" ht="16" x14ac:dyDescent="0.2">
      <c r="A76" s="222">
        <v>44380</v>
      </c>
      <c r="B76" s="159">
        <v>2021</v>
      </c>
      <c r="C76" s="146" t="s">
        <v>30</v>
      </c>
      <c r="D76" s="154">
        <v>342</v>
      </c>
      <c r="E76" s="154">
        <v>13</v>
      </c>
      <c r="F76" s="157">
        <v>0</v>
      </c>
      <c r="G76" s="157"/>
      <c r="J76" s="157">
        <v>1008</v>
      </c>
      <c r="K76" s="157">
        <v>1344</v>
      </c>
      <c r="L76" s="157"/>
      <c r="M76" s="157">
        <v>8</v>
      </c>
      <c r="N76" s="157">
        <v>16</v>
      </c>
      <c r="P76" s="157">
        <v>1963</v>
      </c>
      <c r="Q76" s="157"/>
      <c r="R76" s="162">
        <f t="shared" si="11"/>
        <v>4339</v>
      </c>
      <c r="S76" s="51">
        <f t="shared" si="12"/>
        <v>0.54759161097026965</v>
      </c>
      <c r="T76" s="51">
        <f t="shared" si="13"/>
        <v>5.5312283936390875E-3</v>
      </c>
      <c r="U76" s="51">
        <f>P76/R76</f>
        <v>0.45240838902973035</v>
      </c>
      <c r="V76" s="157"/>
      <c r="W76" s="154"/>
      <c r="X76" s="157">
        <v>8</v>
      </c>
      <c r="Y76" s="157">
        <f t="shared" si="14"/>
        <v>12.687134502923977</v>
      </c>
      <c r="Z76" s="158">
        <f t="shared" si="15"/>
        <v>333.76923076923077</v>
      </c>
      <c r="AA76" s="147"/>
      <c r="AB76" s="146" t="s">
        <v>123</v>
      </c>
    </row>
    <row r="77" spans="1:269" ht="16" x14ac:dyDescent="0.2">
      <c r="A77" s="222">
        <v>44387</v>
      </c>
      <c r="B77" s="159">
        <v>2021</v>
      </c>
      <c r="C77" s="146" t="s">
        <v>30</v>
      </c>
      <c r="D77" s="154">
        <v>254</v>
      </c>
      <c r="E77" s="154">
        <v>12</v>
      </c>
      <c r="F77" s="157">
        <v>25</v>
      </c>
      <c r="G77" s="157"/>
      <c r="J77" s="157">
        <v>673</v>
      </c>
      <c r="K77" s="157">
        <v>1145</v>
      </c>
      <c r="L77" s="157"/>
      <c r="M77" s="157">
        <v>20</v>
      </c>
      <c r="N77" s="157">
        <v>8</v>
      </c>
      <c r="P77" s="157">
        <v>885</v>
      </c>
      <c r="Q77" s="157"/>
      <c r="R77" s="162">
        <f t="shared" si="11"/>
        <v>2756</v>
      </c>
      <c r="S77" s="51">
        <f t="shared" si="12"/>
        <v>0.66981132075471694</v>
      </c>
      <c r="T77" s="51">
        <f t="shared" si="13"/>
        <v>1.0159651669085631E-2</v>
      </c>
      <c r="U77" s="51">
        <f>(F77+P77)/R77</f>
        <v>0.330188679245283</v>
      </c>
      <c r="V77" s="157"/>
      <c r="W77" s="154"/>
      <c r="X77" s="157">
        <v>10</v>
      </c>
      <c r="Y77" s="157">
        <f t="shared" si="14"/>
        <v>10.850393700787402</v>
      </c>
      <c r="Z77" s="158">
        <f t="shared" si="15"/>
        <v>229.66666666666666</v>
      </c>
      <c r="AA77" s="147"/>
      <c r="AB77" s="146" t="s">
        <v>123</v>
      </c>
    </row>
    <row r="78" spans="1:269" ht="16" x14ac:dyDescent="0.2">
      <c r="A78" s="222">
        <v>44394</v>
      </c>
      <c r="B78" s="159">
        <v>2021</v>
      </c>
      <c r="C78" s="146" t="s">
        <v>30</v>
      </c>
      <c r="D78" s="232">
        <v>259</v>
      </c>
      <c r="E78" s="231">
        <v>8</v>
      </c>
      <c r="F78" s="244">
        <v>15</v>
      </c>
      <c r="G78" s="157"/>
      <c r="J78" s="244">
        <v>800</v>
      </c>
      <c r="K78" s="244">
        <v>643.12</v>
      </c>
      <c r="L78" s="157"/>
      <c r="M78" s="244">
        <v>0</v>
      </c>
      <c r="N78" s="244">
        <v>14</v>
      </c>
      <c r="P78" s="245">
        <v>490</v>
      </c>
      <c r="Q78" s="157"/>
      <c r="R78" s="246">
        <f t="shared" si="11"/>
        <v>1962.12</v>
      </c>
      <c r="S78" s="236">
        <f t="shared" si="12"/>
        <v>0.74262532362954359</v>
      </c>
      <c r="T78" s="237">
        <f t="shared" si="13"/>
        <v>7.1351395429433478E-3</v>
      </c>
      <c r="U78" s="237">
        <f>(F78+P78)/R78</f>
        <v>0.25737467637045647</v>
      </c>
      <c r="V78" s="248"/>
      <c r="W78" s="154"/>
      <c r="X78" s="157"/>
      <c r="Y78" s="157">
        <f t="shared" si="14"/>
        <v>7.5757528957528955</v>
      </c>
      <c r="Z78" s="158">
        <f t="shared" si="15"/>
        <v>245.26499999999999</v>
      </c>
      <c r="AA78" s="147"/>
      <c r="AB78" s="146" t="s">
        <v>123</v>
      </c>
    </row>
    <row r="79" spans="1:269" ht="16" x14ac:dyDescent="0.2">
      <c r="A79" s="222">
        <v>44408</v>
      </c>
      <c r="B79" s="159">
        <v>2021</v>
      </c>
      <c r="C79" s="146" t="s">
        <v>30</v>
      </c>
      <c r="D79" s="232">
        <v>357</v>
      </c>
      <c r="E79" s="231">
        <v>9</v>
      </c>
      <c r="F79" s="244">
        <v>40</v>
      </c>
      <c r="G79" s="157"/>
      <c r="J79" s="244">
        <v>700</v>
      </c>
      <c r="K79" s="244">
        <v>817</v>
      </c>
      <c r="L79" s="157"/>
      <c r="M79" s="244">
        <v>8</v>
      </c>
      <c r="N79" s="244">
        <v>12</v>
      </c>
      <c r="P79" s="245">
        <v>1121</v>
      </c>
      <c r="Q79" s="157"/>
      <c r="R79" s="246">
        <f t="shared" si="11"/>
        <v>2698</v>
      </c>
      <c r="S79" s="236">
        <f t="shared" si="12"/>
        <v>0.56968124536693843</v>
      </c>
      <c r="T79" s="237">
        <f t="shared" si="13"/>
        <v>7.4128984432913266E-3</v>
      </c>
      <c r="U79" s="237">
        <f>(F79+P79)/R79</f>
        <v>0.43031875463306152</v>
      </c>
      <c r="V79" s="248"/>
      <c r="W79" s="154"/>
      <c r="X79" s="157"/>
      <c r="Y79" s="157">
        <f t="shared" si="14"/>
        <v>7.5574229691876749</v>
      </c>
      <c r="Z79" s="158">
        <f t="shared" si="15"/>
        <v>299.77777777777777</v>
      </c>
      <c r="AA79" s="147"/>
      <c r="AB79" s="146" t="s">
        <v>123</v>
      </c>
    </row>
    <row r="80" spans="1:269" ht="16" x14ac:dyDescent="0.2">
      <c r="A80" s="222">
        <v>44415</v>
      </c>
      <c r="B80" s="159">
        <v>2021</v>
      </c>
      <c r="C80" s="146" t="s">
        <v>31</v>
      </c>
      <c r="D80" s="22">
        <v>205</v>
      </c>
      <c r="E80" s="22">
        <v>12</v>
      </c>
      <c r="F80" s="40">
        <v>0</v>
      </c>
      <c r="G80" s="157"/>
      <c r="J80" s="40">
        <v>822</v>
      </c>
      <c r="K80" s="40">
        <v>1243.3</v>
      </c>
      <c r="M80" s="40">
        <v>77</v>
      </c>
      <c r="N80" s="40">
        <v>32</v>
      </c>
      <c r="P80" s="41">
        <v>1592</v>
      </c>
      <c r="Q80" s="157"/>
      <c r="R80" s="43">
        <v>3766.3</v>
      </c>
      <c r="S80" s="42">
        <v>0.57730398534370608</v>
      </c>
      <c r="T80" s="31">
        <v>2.8940870350211079E-2</v>
      </c>
      <c r="U80" s="31">
        <v>0.42269601465629397</v>
      </c>
      <c r="V80" s="28"/>
      <c r="W80" s="154"/>
      <c r="X80" s="157"/>
      <c r="Y80" s="157">
        <f t="shared" si="14"/>
        <v>18.372195121951222</v>
      </c>
      <c r="Z80" s="158">
        <f t="shared" si="15"/>
        <v>313.85833333333335</v>
      </c>
      <c r="AA80" s="147"/>
      <c r="AB80" s="146" t="s">
        <v>123</v>
      </c>
    </row>
    <row r="81" spans="1:28" ht="16" x14ac:dyDescent="0.2">
      <c r="A81" s="222">
        <v>44422</v>
      </c>
      <c r="B81" s="159">
        <v>2021</v>
      </c>
      <c r="C81" s="146" t="s">
        <v>31</v>
      </c>
      <c r="D81" s="22">
        <v>266</v>
      </c>
      <c r="E81" s="22">
        <v>7</v>
      </c>
      <c r="F81" s="40">
        <v>50</v>
      </c>
      <c r="G81" s="157"/>
      <c r="J81" s="40">
        <v>888</v>
      </c>
      <c r="K81" s="40">
        <v>524</v>
      </c>
      <c r="M81" s="40">
        <v>65</v>
      </c>
      <c r="N81" s="40">
        <v>36</v>
      </c>
      <c r="P81" s="41">
        <v>1434</v>
      </c>
      <c r="Q81" s="157"/>
      <c r="R81" s="43">
        <v>2997</v>
      </c>
      <c r="S81" s="42">
        <v>0.50483817150483812</v>
      </c>
      <c r="T81" s="31">
        <v>3.3700367033700364E-2</v>
      </c>
      <c r="U81" s="31">
        <v>0.49516182849516183</v>
      </c>
      <c r="V81" s="28"/>
      <c r="W81" s="154"/>
      <c r="X81" s="157"/>
      <c r="Y81" s="157">
        <f t="shared" si="14"/>
        <v>11.266917293233083</v>
      </c>
      <c r="Z81" s="158">
        <f t="shared" si="15"/>
        <v>428.14285714285717</v>
      </c>
      <c r="AA81" s="147"/>
      <c r="AB81" s="146" t="s">
        <v>123</v>
      </c>
    </row>
    <row r="82" spans="1:28" ht="16" x14ac:dyDescent="0.2">
      <c r="A82" s="222">
        <v>44436</v>
      </c>
      <c r="B82" s="159">
        <v>2021</v>
      </c>
      <c r="C82" s="146" t="s">
        <v>31</v>
      </c>
      <c r="D82" s="22">
        <v>202</v>
      </c>
      <c r="E82" s="22">
        <v>11</v>
      </c>
      <c r="F82" s="40">
        <v>40</v>
      </c>
      <c r="G82" s="157"/>
      <c r="J82" s="40">
        <v>550</v>
      </c>
      <c r="K82" s="40">
        <v>577.5521</v>
      </c>
      <c r="M82" s="40">
        <v>21</v>
      </c>
      <c r="N82" s="40">
        <v>32</v>
      </c>
      <c r="P82" s="41">
        <v>1088.5</v>
      </c>
      <c r="Q82" s="157"/>
      <c r="R82" s="43">
        <v>2309.0520999999999</v>
      </c>
      <c r="S82" s="42">
        <v>0.51127131345368948</v>
      </c>
      <c r="T82" s="31">
        <v>2.295314168095211E-2</v>
      </c>
      <c r="U82" s="31">
        <v>0.48872868654631052</v>
      </c>
      <c r="V82" s="28"/>
      <c r="W82" s="154"/>
      <c r="X82" s="157"/>
      <c r="Y82" s="157">
        <f t="shared" si="14"/>
        <v>11.43095099009901</v>
      </c>
      <c r="Z82" s="158">
        <f t="shared" si="15"/>
        <v>209.91382727272727</v>
      </c>
      <c r="AA82" s="147"/>
      <c r="AB82" s="146" t="s">
        <v>123</v>
      </c>
    </row>
    <row r="83" spans="1:28" ht="16" x14ac:dyDescent="0.2">
      <c r="A83" s="222">
        <v>44443</v>
      </c>
      <c r="B83" s="159">
        <v>2021</v>
      </c>
      <c r="C83" s="146" t="s">
        <v>32</v>
      </c>
      <c r="D83" s="22">
        <v>186</v>
      </c>
      <c r="E83" s="22">
        <v>9</v>
      </c>
      <c r="F83" s="40">
        <v>56</v>
      </c>
      <c r="G83" s="157"/>
      <c r="J83" s="40">
        <v>1000</v>
      </c>
      <c r="K83" s="40">
        <v>1410.5</v>
      </c>
      <c r="M83" s="40">
        <v>60</v>
      </c>
      <c r="N83" s="40">
        <v>68</v>
      </c>
      <c r="P83" s="41">
        <v>1233</v>
      </c>
      <c r="Q83" s="157"/>
      <c r="R83" s="43">
        <v>3827.5</v>
      </c>
      <c r="S83" s="42">
        <v>0.66322664924885699</v>
      </c>
      <c r="T83" s="31">
        <v>3.3442194644023517E-2</v>
      </c>
      <c r="U83" s="31">
        <v>0.33677335075114306</v>
      </c>
      <c r="V83" s="28"/>
      <c r="W83" s="154"/>
      <c r="X83" s="157"/>
      <c r="Y83" s="157">
        <f t="shared" si="14"/>
        <v>20.577956989247312</v>
      </c>
      <c r="Z83" s="158">
        <f t="shared" si="15"/>
        <v>425.27777777777777</v>
      </c>
      <c r="AA83" s="147"/>
      <c r="AB83" s="146" t="s">
        <v>123</v>
      </c>
    </row>
    <row r="84" spans="1:28" ht="16" x14ac:dyDescent="0.2">
      <c r="A84" s="222">
        <v>44450</v>
      </c>
      <c r="B84" s="159">
        <v>2021</v>
      </c>
      <c r="C84" s="146" t="s">
        <v>32</v>
      </c>
      <c r="D84" s="22">
        <v>183</v>
      </c>
      <c r="E84" s="22">
        <v>9</v>
      </c>
      <c r="F84" s="40">
        <v>70</v>
      </c>
      <c r="G84" s="157"/>
      <c r="J84" s="40">
        <v>509</v>
      </c>
      <c r="K84" s="40">
        <v>734.1</v>
      </c>
      <c r="M84" s="40">
        <v>44</v>
      </c>
      <c r="N84" s="40">
        <v>32</v>
      </c>
      <c r="P84" s="41">
        <v>967</v>
      </c>
      <c r="Q84" s="157"/>
      <c r="R84" s="43">
        <v>2356.1</v>
      </c>
      <c r="S84" s="42">
        <v>0.55986588005602478</v>
      </c>
      <c r="T84" s="31">
        <v>3.2256695386443698E-2</v>
      </c>
      <c r="U84" s="31">
        <v>0.44013411994397522</v>
      </c>
      <c r="V84" s="28"/>
      <c r="W84" s="154"/>
      <c r="X84" s="157"/>
      <c r="Y84" s="157">
        <f t="shared" si="14"/>
        <v>12.874863387978142</v>
      </c>
      <c r="Z84" s="158">
        <f t="shared" si="15"/>
        <v>261.78888888888889</v>
      </c>
      <c r="AA84" s="147"/>
      <c r="AB84" s="146" t="s">
        <v>123</v>
      </c>
    </row>
    <row r="85" spans="1:28" x14ac:dyDescent="0.2">
      <c r="D85" s="173"/>
      <c r="E85" s="173"/>
      <c r="R85" s="239"/>
    </row>
  </sheetData>
  <autoFilter ref="A1:JI51" xr:uid="{F17A2980-0794-0848-A0C0-43428580593A}">
    <sortState xmlns:xlrd2="http://schemas.microsoft.com/office/spreadsheetml/2017/richdata2" ref="A2:JI84">
      <sortCondition descending="1" ref="AB1:AB51"/>
    </sortState>
  </autoFilter>
  <phoneticPr fontId="15" type="noConversion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Graphs</vt:lpstr>
      <vt:lpstr>2021</vt:lpstr>
      <vt:lpstr>2020</vt:lpstr>
      <vt:lpstr>2019</vt:lpstr>
      <vt:lpstr>2018</vt:lpstr>
      <vt:lpstr>2017 (empty)</vt:lpstr>
      <vt:lpstr>2016 (empty)</vt:lpstr>
      <vt:lpstr>2015</vt:lpstr>
      <vt:lpstr>Combined</vt:lpstr>
      <vt:lpstr>Events only</vt:lpstr>
      <vt:lpstr>Pivot Table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 white</dc:creator>
  <cp:keywords/>
  <dc:description/>
  <cp:lastModifiedBy>Microsoft Office User</cp:lastModifiedBy>
  <cp:revision/>
  <cp:lastPrinted>2022-02-19T19:16:49Z</cp:lastPrinted>
  <dcterms:created xsi:type="dcterms:W3CDTF">2020-08-11T02:59:27Z</dcterms:created>
  <dcterms:modified xsi:type="dcterms:W3CDTF">2022-02-19T19:22:31Z</dcterms:modified>
  <cp:category/>
  <cp:contentStatus/>
</cp:coreProperties>
</file>